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EP SPP Trans Formula Rates PSO SWE OKT SWT\2019 Projection\Corrected 2019 Projection\"/>
    </mc:Choice>
  </mc:AlternateContent>
  <bookViews>
    <workbookView xWindow="690" yWindow="6045" windowWidth="18510" windowHeight="1140" tabRatio="939"/>
  </bookViews>
  <sheets>
    <sheet name="PSO Sch 11 Rates" sheetId="17" r:id="rId1"/>
    <sheet name="PSO.WS.F.BPU.ATRR.Projected" sheetId="1" r:id="rId2"/>
    <sheet name="PSO.WS.G.BPU.ATRR.True-up" sheetId="2" r:id="rId3"/>
    <sheet name="P.001" sheetId="3" r:id="rId4"/>
    <sheet name="P.002" sheetId="4" r:id="rId5"/>
    <sheet name="P.003" sheetId="5" r:id="rId6"/>
    <sheet name="P.004" sheetId="6" r:id="rId7"/>
    <sheet name="P.005" sheetId="7" r:id="rId8"/>
    <sheet name="P.006" sheetId="8" r:id="rId9"/>
    <sheet name="P.007" sheetId="9" r:id="rId10"/>
    <sheet name="P.008" sheetId="10" r:id="rId11"/>
    <sheet name="P.009" sheetId="11" r:id="rId12"/>
    <sheet name="P.010" sheetId="22" r:id="rId13"/>
    <sheet name="P.011" sheetId="23" r:id="rId14"/>
    <sheet name="P.012" sheetId="24" r:id="rId15"/>
    <sheet name="P.013" sheetId="25" r:id="rId16"/>
    <sheet name="P.014" sheetId="27" r:id="rId17"/>
    <sheet name="P.015" sheetId="28" r:id="rId18"/>
    <sheet name="P.016" sheetId="29" r:id="rId19"/>
    <sheet name="P.017" sheetId="30" r:id="rId20"/>
    <sheet name="P.018" sheetId="31" r:id="rId21"/>
    <sheet name="P.019" sheetId="37" r:id="rId22"/>
    <sheet name="P.020" sheetId="38" r:id="rId23"/>
    <sheet name="P.021" sheetId="39" r:id="rId24"/>
    <sheet name="P.022" sheetId="40" r:id="rId25"/>
    <sheet name="P.023" sheetId="41" r:id="rId26"/>
    <sheet name="P.024" sheetId="42" r:id="rId27"/>
    <sheet name="P.025" sheetId="43" r:id="rId28"/>
    <sheet name="P.026" sheetId="44" r:id="rId29"/>
    <sheet name="P.027" sheetId="45" r:id="rId30"/>
    <sheet name="P.xyz - blank" sheetId="13" r:id="rId31"/>
  </sheets>
  <externalReferences>
    <externalReference r:id="rId32"/>
    <externalReference r:id="rId33"/>
  </externalReferences>
  <definedNames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3">P.001!$A$1:$P$165</definedName>
    <definedName name="_xlnm.Print_Area" localSheetId="4">P.002!$A$1:$P$165</definedName>
    <definedName name="_xlnm.Print_Area" localSheetId="5">P.003!$A$1:$P$165</definedName>
    <definedName name="_xlnm.Print_Area" localSheetId="6">P.004!$A$1:$P$165</definedName>
    <definedName name="_xlnm.Print_Area" localSheetId="7">P.005!$A$1:$P$165</definedName>
    <definedName name="_xlnm.Print_Area" localSheetId="8">P.006!$A$1:$P$165</definedName>
    <definedName name="_xlnm.Print_Area" localSheetId="9">P.007!$A$1:$P$165</definedName>
    <definedName name="_xlnm.Print_Area" localSheetId="10">P.008!$A$1:$P$165</definedName>
    <definedName name="_xlnm.Print_Area" localSheetId="11">P.009!$A$1:$P$165</definedName>
    <definedName name="_xlnm.Print_Area" localSheetId="12">P.010!$A$1:$P$165</definedName>
    <definedName name="_xlnm.Print_Area" localSheetId="13">P.011!$A$1:$P$165</definedName>
    <definedName name="_xlnm.Print_Area" localSheetId="14">P.012!$A$1:$P$165</definedName>
    <definedName name="_xlnm.Print_Area" localSheetId="15">P.013!$A$1:$P$165</definedName>
    <definedName name="_xlnm.Print_Area" localSheetId="16">P.014!$A$1:$P$165</definedName>
    <definedName name="_xlnm.Print_Area" localSheetId="17">P.015!$A$1:$P$165</definedName>
    <definedName name="_xlnm.Print_Area" localSheetId="18">P.016!$A$1:$P$165</definedName>
    <definedName name="_xlnm.Print_Area" localSheetId="19">P.017!$A$1:$P$165</definedName>
    <definedName name="_xlnm.Print_Area" localSheetId="20">P.018!$A$1:$P$165</definedName>
    <definedName name="_xlnm.Print_Area" localSheetId="21">P.019!$A$1:$P$165</definedName>
    <definedName name="_xlnm.Print_Area" localSheetId="22">P.020!$A$1:$P$165</definedName>
    <definedName name="_xlnm.Print_Area" localSheetId="23">P.021!$A$1:$P$165</definedName>
    <definedName name="_xlnm.Print_Area" localSheetId="24">P.022!$A$1:$P$165</definedName>
    <definedName name="_xlnm.Print_Area" localSheetId="30">'P.xyz - blank'!$A$1:$P$165</definedName>
    <definedName name="_xlnm.Print_Area" localSheetId="0">'PSO Sch 11 Rates'!$A$1:$T$49</definedName>
    <definedName name="_xlnm.Print_Area" localSheetId="1">PSO.WS.F.BPU.ATRR.Projected!$A$1:$O$93</definedName>
    <definedName name="_xlnm.Print_Area" localSheetId="2">'PSO.WS.G.BPU.ATRR.True-up'!$A$1:$P$96</definedName>
    <definedName name="_xlnm.Print_Titles" localSheetId="5">P.003!#REF!</definedName>
    <definedName name="_xlnm.Print_Titles" localSheetId="6">P.004!#REF!</definedName>
    <definedName name="_xlnm.Print_Titles" localSheetId="7">P.005!#REF!</definedName>
    <definedName name="_xlnm.Print_Titles" localSheetId="8">P.006!#REF!</definedName>
    <definedName name="_xlnm.Print_Titles" localSheetId="9">P.007!#REF!</definedName>
    <definedName name="_xlnm.Print_Titles" localSheetId="10">P.008!#REF!</definedName>
    <definedName name="_xlnm.Print_Titles" localSheetId="11">P.009!#REF!</definedName>
    <definedName name="_xlnm.Print_Titles" localSheetId="12">P.010!#REF!</definedName>
    <definedName name="_xlnm.Print_Titles" localSheetId="13">P.011!#REF!</definedName>
    <definedName name="_xlnm.Print_Titles" localSheetId="14">P.012!#REF!</definedName>
    <definedName name="_xlnm.Print_Titles" localSheetId="15">P.013!#REF!</definedName>
    <definedName name="_xlnm.Print_Titles" localSheetId="16">P.014!#REF!</definedName>
    <definedName name="_xlnm.Print_Titles" localSheetId="17">P.015!#REF!</definedName>
    <definedName name="_xlnm.Print_Titles" localSheetId="18">P.016!#REF!</definedName>
    <definedName name="_xlnm.Print_Titles" localSheetId="19">P.017!#REF!</definedName>
    <definedName name="_xlnm.Print_Titles" localSheetId="20">P.018!#REF!</definedName>
    <definedName name="_xlnm.Print_Titles" localSheetId="21">P.019!#REF!</definedName>
    <definedName name="_xlnm.Print_Titles" localSheetId="22">P.020!#REF!</definedName>
    <definedName name="_xlnm.Print_Titles" localSheetId="23">P.021!#REF!</definedName>
    <definedName name="_xlnm.Print_Titles" localSheetId="24">P.022!#REF!</definedName>
    <definedName name="_xlnm.Print_Titles" localSheetId="30">'P.xyz - blank'!#REF!</definedName>
    <definedName name="_xlnm.Print_Titles" localSheetId="1">PSO.WS.F.BPU.ATRR.Projected!$1:$6</definedName>
    <definedName name="_xlnm.Print_Titles" localSheetId="2">'PSO.WS.G.BPU.ATRR.True-up'!$1:$5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62913"/>
</workbook>
</file>

<file path=xl/calcChain.xml><?xml version="1.0" encoding="utf-8"?>
<calcChain xmlns="http://schemas.openxmlformats.org/spreadsheetml/2006/main">
  <c r="J41" i="17" l="1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AB47" i="17" l="1"/>
  <c r="F86" i="1" l="1"/>
  <c r="F58" i="1"/>
  <c r="F44" i="1"/>
  <c r="E31" i="1"/>
  <c r="D18" i="1"/>
  <c r="F12" i="1"/>
  <c r="P44" i="17"/>
  <c r="W44" i="17"/>
  <c r="W43" i="17"/>
  <c r="P43" i="17"/>
  <c r="P154" i="45"/>
  <c r="O154" i="45"/>
  <c r="M154" i="45"/>
  <c r="J154" i="45"/>
  <c r="P153" i="45"/>
  <c r="O153" i="45"/>
  <c r="M153" i="45"/>
  <c r="J153" i="45"/>
  <c r="P152" i="45"/>
  <c r="O152" i="45"/>
  <c r="M152" i="45"/>
  <c r="J152" i="45"/>
  <c r="P151" i="45"/>
  <c r="O151" i="45"/>
  <c r="M151" i="45"/>
  <c r="J151" i="45"/>
  <c r="P150" i="45"/>
  <c r="O150" i="45"/>
  <c r="M150" i="45"/>
  <c r="J150" i="45"/>
  <c r="P149" i="45"/>
  <c r="O149" i="45"/>
  <c r="M149" i="45"/>
  <c r="J149" i="45"/>
  <c r="P148" i="45"/>
  <c r="O148" i="45"/>
  <c r="M148" i="45"/>
  <c r="J148" i="45"/>
  <c r="P147" i="45"/>
  <c r="O147" i="45"/>
  <c r="M147" i="45"/>
  <c r="J147" i="45"/>
  <c r="P146" i="45"/>
  <c r="O146" i="45"/>
  <c r="M146" i="45"/>
  <c r="J146" i="45"/>
  <c r="P145" i="45"/>
  <c r="O145" i="45"/>
  <c r="M145" i="45"/>
  <c r="J145" i="45"/>
  <c r="P144" i="45"/>
  <c r="O144" i="45"/>
  <c r="M144" i="45"/>
  <c r="J144" i="45"/>
  <c r="P143" i="45"/>
  <c r="O143" i="45"/>
  <c r="M143" i="45"/>
  <c r="J143" i="45"/>
  <c r="P142" i="45"/>
  <c r="O142" i="45"/>
  <c r="M142" i="45"/>
  <c r="J142" i="45"/>
  <c r="P141" i="45"/>
  <c r="O141" i="45"/>
  <c r="M141" i="45"/>
  <c r="J141" i="45"/>
  <c r="P140" i="45"/>
  <c r="O140" i="45"/>
  <c r="M140" i="45"/>
  <c r="J140" i="45"/>
  <c r="P139" i="45"/>
  <c r="O139" i="45"/>
  <c r="M139" i="45"/>
  <c r="J139" i="45"/>
  <c r="P138" i="45"/>
  <c r="O138" i="45"/>
  <c r="M138" i="45"/>
  <c r="J138" i="45"/>
  <c r="P137" i="45"/>
  <c r="O137" i="45"/>
  <c r="M137" i="45"/>
  <c r="J137" i="45"/>
  <c r="P136" i="45"/>
  <c r="O136" i="45"/>
  <c r="M136" i="45"/>
  <c r="J136" i="45"/>
  <c r="P135" i="45"/>
  <c r="O135" i="45"/>
  <c r="M135" i="45"/>
  <c r="J135" i="45"/>
  <c r="P134" i="45"/>
  <c r="O134" i="45"/>
  <c r="M134" i="45"/>
  <c r="J134" i="45"/>
  <c r="P133" i="45"/>
  <c r="O133" i="45"/>
  <c r="M133" i="45"/>
  <c r="J133" i="45"/>
  <c r="P132" i="45"/>
  <c r="O132" i="45"/>
  <c r="M132" i="45"/>
  <c r="J132" i="45"/>
  <c r="P131" i="45"/>
  <c r="O131" i="45"/>
  <c r="M131" i="45"/>
  <c r="J131" i="45"/>
  <c r="O130" i="45"/>
  <c r="M130" i="45"/>
  <c r="O129" i="45"/>
  <c r="M129" i="45"/>
  <c r="O128" i="45"/>
  <c r="M128" i="45"/>
  <c r="O127" i="45"/>
  <c r="M127" i="45"/>
  <c r="O126" i="45"/>
  <c r="M126" i="45"/>
  <c r="O125" i="45"/>
  <c r="M125" i="45"/>
  <c r="O124" i="45"/>
  <c r="M124" i="45"/>
  <c r="O123" i="45"/>
  <c r="M123" i="45"/>
  <c r="O122" i="45"/>
  <c r="M122" i="45"/>
  <c r="O121" i="45"/>
  <c r="M121" i="45"/>
  <c r="O120" i="45"/>
  <c r="M120" i="45"/>
  <c r="O119" i="45"/>
  <c r="M119" i="45"/>
  <c r="O118" i="45"/>
  <c r="M118" i="45"/>
  <c r="O117" i="45"/>
  <c r="P117" i="45" s="1"/>
  <c r="M117" i="45"/>
  <c r="O116" i="45"/>
  <c r="P116" i="45" s="1"/>
  <c r="M116" i="45"/>
  <c r="O115" i="45"/>
  <c r="M115" i="45"/>
  <c r="O114" i="45"/>
  <c r="M114" i="45"/>
  <c r="O113" i="45"/>
  <c r="M113" i="45"/>
  <c r="O112" i="45"/>
  <c r="M112" i="45"/>
  <c r="O111" i="45"/>
  <c r="M111" i="45"/>
  <c r="O110" i="45"/>
  <c r="M110" i="45"/>
  <c r="O109" i="45"/>
  <c r="M109" i="45"/>
  <c r="O108" i="45"/>
  <c r="M108" i="45"/>
  <c r="O107" i="45"/>
  <c r="M107" i="45"/>
  <c r="O106" i="45"/>
  <c r="P106" i="45" s="1"/>
  <c r="M106" i="45"/>
  <c r="O105" i="45"/>
  <c r="M105" i="45"/>
  <c r="O104" i="45"/>
  <c r="P104" i="45" s="1"/>
  <c r="M104" i="45"/>
  <c r="O103" i="45"/>
  <c r="M103" i="45"/>
  <c r="P103" i="45" s="1"/>
  <c r="O102" i="45"/>
  <c r="M102" i="45"/>
  <c r="O101" i="45"/>
  <c r="M101" i="45"/>
  <c r="O100" i="45"/>
  <c r="M100" i="45"/>
  <c r="O99" i="45"/>
  <c r="M99" i="45"/>
  <c r="P99" i="45" s="1"/>
  <c r="D96" i="45"/>
  <c r="L93" i="45"/>
  <c r="J93" i="45"/>
  <c r="D91" i="45"/>
  <c r="D90" i="45"/>
  <c r="D89" i="45"/>
  <c r="N72" i="45"/>
  <c r="L72" i="45"/>
  <c r="O72" i="45" s="1"/>
  <c r="N71" i="45"/>
  <c r="L71" i="45"/>
  <c r="N70" i="45"/>
  <c r="L70" i="45"/>
  <c r="N69" i="45"/>
  <c r="L69" i="45"/>
  <c r="O69" i="45" s="1"/>
  <c r="N68" i="45"/>
  <c r="L68" i="45"/>
  <c r="N67" i="45"/>
  <c r="L67" i="45"/>
  <c r="O67" i="45" s="1"/>
  <c r="N66" i="45"/>
  <c r="L66" i="45"/>
  <c r="N65" i="45"/>
  <c r="L65" i="45"/>
  <c r="O65" i="45" s="1"/>
  <c r="N64" i="45"/>
  <c r="L64" i="45"/>
  <c r="O64" i="45" s="1"/>
  <c r="N63" i="45"/>
  <c r="L63" i="45"/>
  <c r="N62" i="45"/>
  <c r="L62" i="45"/>
  <c r="N61" i="45"/>
  <c r="O61" i="45" s="1"/>
  <c r="L61" i="45"/>
  <c r="N60" i="45"/>
  <c r="L60" i="45"/>
  <c r="N59" i="45"/>
  <c r="L59" i="45"/>
  <c r="O59" i="45" s="1"/>
  <c r="N58" i="45"/>
  <c r="O58" i="45" s="1"/>
  <c r="L58" i="45"/>
  <c r="N57" i="45"/>
  <c r="L57" i="45"/>
  <c r="N56" i="45"/>
  <c r="L56" i="45"/>
  <c r="N55" i="45"/>
  <c r="O55" i="45"/>
  <c r="L55" i="45"/>
  <c r="N54" i="45"/>
  <c r="L54" i="45"/>
  <c r="N53" i="45"/>
  <c r="L53" i="45"/>
  <c r="O53" i="45" s="1"/>
  <c r="N52" i="45"/>
  <c r="L52" i="45"/>
  <c r="N51" i="45"/>
  <c r="L51" i="45"/>
  <c r="O51" i="45" s="1"/>
  <c r="N50" i="45"/>
  <c r="L50" i="45"/>
  <c r="N49" i="45"/>
  <c r="L49" i="45"/>
  <c r="N48" i="45"/>
  <c r="L48" i="45"/>
  <c r="N47" i="45"/>
  <c r="O47" i="45"/>
  <c r="L47" i="45"/>
  <c r="N46" i="45"/>
  <c r="L46" i="45"/>
  <c r="O46" i="45" s="1"/>
  <c r="N45" i="45"/>
  <c r="O45" i="45" s="1"/>
  <c r="L45" i="45"/>
  <c r="N44" i="45"/>
  <c r="L44" i="45"/>
  <c r="N43" i="45"/>
  <c r="L43" i="45"/>
  <c r="N42" i="45"/>
  <c r="L42" i="45"/>
  <c r="O42" i="45" s="1"/>
  <c r="N41" i="45"/>
  <c r="L41" i="45"/>
  <c r="N40" i="45"/>
  <c r="O40" i="45" s="1"/>
  <c r="L40" i="45"/>
  <c r="N39" i="45"/>
  <c r="L39" i="45"/>
  <c r="N38" i="45"/>
  <c r="O38" i="45" s="1"/>
  <c r="L38" i="45"/>
  <c r="N37" i="45"/>
  <c r="L37" i="45"/>
  <c r="N36" i="45"/>
  <c r="L36" i="45"/>
  <c r="O36" i="45" s="1"/>
  <c r="N35" i="45"/>
  <c r="O35" i="45" s="1"/>
  <c r="L35" i="45"/>
  <c r="N34" i="45"/>
  <c r="O34" i="45" s="1"/>
  <c r="L34" i="45"/>
  <c r="N33" i="45"/>
  <c r="L33" i="45"/>
  <c r="O33" i="45" s="1"/>
  <c r="N32" i="45"/>
  <c r="L32" i="45"/>
  <c r="N31" i="45"/>
  <c r="O31" i="45" s="1"/>
  <c r="L31" i="45"/>
  <c r="N30" i="45"/>
  <c r="L30" i="45"/>
  <c r="N29" i="45"/>
  <c r="O29" i="45" s="1"/>
  <c r="L29" i="45"/>
  <c r="N28" i="45"/>
  <c r="O28" i="45" s="1"/>
  <c r="L28" i="45"/>
  <c r="N27" i="45"/>
  <c r="L27" i="45"/>
  <c r="O27" i="45"/>
  <c r="N26" i="45"/>
  <c r="L26" i="45"/>
  <c r="N25" i="45"/>
  <c r="L25" i="45"/>
  <c r="N24" i="45"/>
  <c r="L24" i="45"/>
  <c r="N23" i="45"/>
  <c r="O23" i="45"/>
  <c r="L23" i="45"/>
  <c r="N22" i="45"/>
  <c r="L22" i="45"/>
  <c r="N21" i="45"/>
  <c r="L21" i="45"/>
  <c r="O21" i="45" s="1"/>
  <c r="N20" i="45"/>
  <c r="O20" i="45"/>
  <c r="L20" i="45"/>
  <c r="N19" i="45"/>
  <c r="O19" i="45"/>
  <c r="L19" i="45"/>
  <c r="N18" i="45"/>
  <c r="L18" i="45"/>
  <c r="N17" i="45"/>
  <c r="O17" i="45"/>
  <c r="L17" i="45"/>
  <c r="C17" i="45"/>
  <c r="K11" i="45"/>
  <c r="I11" i="45"/>
  <c r="P1" i="45"/>
  <c r="P83" i="45" s="1"/>
  <c r="P154" i="44"/>
  <c r="O154" i="44"/>
  <c r="M154" i="44"/>
  <c r="J154" i="44"/>
  <c r="P153" i="44"/>
  <c r="O153" i="44"/>
  <c r="M153" i="44"/>
  <c r="J153" i="44"/>
  <c r="P152" i="44"/>
  <c r="O152" i="44"/>
  <c r="M152" i="44"/>
  <c r="J152" i="44"/>
  <c r="P151" i="44"/>
  <c r="O151" i="44"/>
  <c r="M151" i="44"/>
  <c r="J151" i="44"/>
  <c r="P150" i="44"/>
  <c r="O150" i="44"/>
  <c r="M150" i="44"/>
  <c r="J150" i="44"/>
  <c r="P149" i="44"/>
  <c r="O149" i="44"/>
  <c r="M149" i="44"/>
  <c r="J149" i="44"/>
  <c r="P148" i="44"/>
  <c r="O148" i="44"/>
  <c r="M148" i="44"/>
  <c r="J148" i="44"/>
  <c r="P147" i="44"/>
  <c r="O147" i="44"/>
  <c r="M147" i="44"/>
  <c r="J147" i="44"/>
  <c r="P146" i="44"/>
  <c r="O146" i="44"/>
  <c r="M146" i="44"/>
  <c r="J146" i="44"/>
  <c r="P145" i="44"/>
  <c r="O145" i="44"/>
  <c r="M145" i="44"/>
  <c r="J145" i="44"/>
  <c r="P144" i="44"/>
  <c r="O144" i="44"/>
  <c r="M144" i="44"/>
  <c r="J144" i="44"/>
  <c r="P143" i="44"/>
  <c r="O143" i="44"/>
  <c r="M143" i="44"/>
  <c r="J143" i="44"/>
  <c r="P142" i="44"/>
  <c r="O142" i="44"/>
  <c r="M142" i="44"/>
  <c r="J142" i="44"/>
  <c r="P141" i="44"/>
  <c r="O141" i="44"/>
  <c r="M141" i="44"/>
  <c r="J141" i="44"/>
  <c r="P140" i="44"/>
  <c r="O140" i="44"/>
  <c r="M140" i="44"/>
  <c r="J140" i="44"/>
  <c r="P139" i="44"/>
  <c r="O139" i="44"/>
  <c r="M139" i="44"/>
  <c r="J139" i="44"/>
  <c r="P138" i="44"/>
  <c r="O138" i="44"/>
  <c r="M138" i="44"/>
  <c r="J138" i="44"/>
  <c r="P137" i="44"/>
  <c r="O137" i="44"/>
  <c r="M137" i="44"/>
  <c r="J137" i="44"/>
  <c r="P136" i="44"/>
  <c r="O136" i="44"/>
  <c r="M136" i="44"/>
  <c r="J136" i="44"/>
  <c r="P135" i="44"/>
  <c r="O135" i="44"/>
  <c r="M135" i="44"/>
  <c r="J135" i="44"/>
  <c r="P134" i="44"/>
  <c r="O134" i="44"/>
  <c r="M134" i="44"/>
  <c r="J134" i="44"/>
  <c r="P133" i="44"/>
  <c r="O133" i="44"/>
  <c r="M133" i="44"/>
  <c r="J133" i="44"/>
  <c r="P132" i="44"/>
  <c r="O132" i="44"/>
  <c r="M132" i="44"/>
  <c r="J132" i="44"/>
  <c r="P131" i="44"/>
  <c r="O131" i="44"/>
  <c r="M131" i="44"/>
  <c r="J131" i="44"/>
  <c r="O130" i="44"/>
  <c r="M130" i="44"/>
  <c r="O129" i="44"/>
  <c r="M129" i="44"/>
  <c r="P129" i="44" s="1"/>
  <c r="O128" i="44"/>
  <c r="M128" i="44"/>
  <c r="O127" i="44"/>
  <c r="M127" i="44"/>
  <c r="O126" i="44"/>
  <c r="M126" i="44"/>
  <c r="O125" i="44"/>
  <c r="M125" i="44"/>
  <c r="O124" i="44"/>
  <c r="P124" i="44" s="1"/>
  <c r="M124" i="44"/>
  <c r="O123" i="44"/>
  <c r="M123" i="44"/>
  <c r="O122" i="44"/>
  <c r="M122" i="44"/>
  <c r="O121" i="44"/>
  <c r="M121" i="44"/>
  <c r="O120" i="44"/>
  <c r="M120" i="44"/>
  <c r="P120" i="44" s="1"/>
  <c r="O119" i="44"/>
  <c r="M119" i="44"/>
  <c r="O118" i="44"/>
  <c r="M118" i="44"/>
  <c r="O117" i="44"/>
  <c r="M117" i="44"/>
  <c r="O116" i="44"/>
  <c r="M116" i="44"/>
  <c r="O115" i="44"/>
  <c r="M115" i="44"/>
  <c r="O114" i="44"/>
  <c r="M114" i="44"/>
  <c r="O113" i="44"/>
  <c r="M113" i="44"/>
  <c r="O112" i="44"/>
  <c r="M112" i="44"/>
  <c r="O111" i="44"/>
  <c r="M111" i="44"/>
  <c r="O110" i="44"/>
  <c r="P110" i="44" s="1"/>
  <c r="M110" i="44"/>
  <c r="O109" i="44"/>
  <c r="P109" i="44"/>
  <c r="M109" i="44"/>
  <c r="O108" i="44"/>
  <c r="M108" i="44"/>
  <c r="O107" i="44"/>
  <c r="P107" i="44" s="1"/>
  <c r="M107" i="44"/>
  <c r="O106" i="44"/>
  <c r="M106" i="44"/>
  <c r="O105" i="44"/>
  <c r="M105" i="44"/>
  <c r="O104" i="44"/>
  <c r="M104" i="44"/>
  <c r="O103" i="44"/>
  <c r="M103" i="44"/>
  <c r="O102" i="44"/>
  <c r="M102" i="44"/>
  <c r="P102" i="44" s="1"/>
  <c r="O101" i="44"/>
  <c r="M101" i="44"/>
  <c r="O100" i="44"/>
  <c r="M100" i="44"/>
  <c r="O99" i="44"/>
  <c r="P99" i="44" s="1"/>
  <c r="M99" i="44"/>
  <c r="D96" i="44"/>
  <c r="L93" i="44"/>
  <c r="J93" i="44"/>
  <c r="D91" i="44"/>
  <c r="D90" i="44"/>
  <c r="D89" i="44"/>
  <c r="N72" i="44"/>
  <c r="O72" i="44" s="1"/>
  <c r="L72" i="44"/>
  <c r="N71" i="44"/>
  <c r="L71" i="44"/>
  <c r="N70" i="44"/>
  <c r="L70" i="44"/>
  <c r="N69" i="44"/>
  <c r="L69" i="44"/>
  <c r="N68" i="44"/>
  <c r="L68" i="44"/>
  <c r="N67" i="44"/>
  <c r="L67" i="44"/>
  <c r="O67" i="44" s="1"/>
  <c r="N66" i="44"/>
  <c r="L66" i="44"/>
  <c r="O66" i="44" s="1"/>
  <c r="N65" i="44"/>
  <c r="L65" i="44"/>
  <c r="N64" i="44"/>
  <c r="L64" i="44"/>
  <c r="N63" i="44"/>
  <c r="O63" i="44" s="1"/>
  <c r="L63" i="44"/>
  <c r="N62" i="44"/>
  <c r="O62" i="44"/>
  <c r="L62" i="44"/>
  <c r="N61" i="44"/>
  <c r="L61" i="44"/>
  <c r="N60" i="44"/>
  <c r="L60" i="44"/>
  <c r="O60" i="44" s="1"/>
  <c r="N59" i="44"/>
  <c r="L59" i="44"/>
  <c r="O59" i="44"/>
  <c r="N58" i="44"/>
  <c r="L58" i="44"/>
  <c r="N57" i="44"/>
  <c r="L57" i="44"/>
  <c r="O57" i="44" s="1"/>
  <c r="N56" i="44"/>
  <c r="L56" i="44"/>
  <c r="N55" i="44"/>
  <c r="L55" i="44"/>
  <c r="N54" i="44"/>
  <c r="O54" i="44" s="1"/>
  <c r="L54" i="44"/>
  <c r="N53" i="44"/>
  <c r="L53" i="44"/>
  <c r="N52" i="44"/>
  <c r="L52" i="44"/>
  <c r="N51" i="44"/>
  <c r="L51" i="44"/>
  <c r="N50" i="44"/>
  <c r="L50" i="44"/>
  <c r="N49" i="44"/>
  <c r="O49" i="44" s="1"/>
  <c r="L49" i="44"/>
  <c r="N48" i="44"/>
  <c r="O48" i="44" s="1"/>
  <c r="L48" i="44"/>
  <c r="N47" i="44"/>
  <c r="L47" i="44"/>
  <c r="O47" i="44" s="1"/>
  <c r="N46" i="44"/>
  <c r="L46" i="44"/>
  <c r="O46" i="44" s="1"/>
  <c r="N45" i="44"/>
  <c r="L45" i="44"/>
  <c r="N44" i="44"/>
  <c r="L44" i="44"/>
  <c r="O44" i="44" s="1"/>
  <c r="N43" i="44"/>
  <c r="L43" i="44"/>
  <c r="O43" i="44"/>
  <c r="N42" i="44"/>
  <c r="O42" i="44"/>
  <c r="L42" i="44"/>
  <c r="N41" i="44"/>
  <c r="L41" i="44"/>
  <c r="N40" i="44"/>
  <c r="L40" i="44"/>
  <c r="N39" i="44"/>
  <c r="L39" i="44"/>
  <c r="N38" i="44"/>
  <c r="L38" i="44"/>
  <c r="N37" i="44"/>
  <c r="O37" i="44"/>
  <c r="L37" i="44"/>
  <c r="N36" i="44"/>
  <c r="L36" i="44"/>
  <c r="N35" i="44"/>
  <c r="O35" i="44"/>
  <c r="L35" i="44"/>
  <c r="N34" i="44"/>
  <c r="L34" i="44"/>
  <c r="O34" i="44" s="1"/>
  <c r="N33" i="44"/>
  <c r="L33" i="44"/>
  <c r="O33" i="44" s="1"/>
  <c r="N32" i="44"/>
  <c r="L32" i="44"/>
  <c r="N31" i="44"/>
  <c r="L31" i="44"/>
  <c r="O31" i="44" s="1"/>
  <c r="N30" i="44"/>
  <c r="L30" i="44"/>
  <c r="N29" i="44"/>
  <c r="O29" i="44" s="1"/>
  <c r="L29" i="44"/>
  <c r="N28" i="44"/>
  <c r="L28" i="44"/>
  <c r="O28" i="44" s="1"/>
  <c r="N27" i="44"/>
  <c r="L27" i="44"/>
  <c r="N26" i="44"/>
  <c r="O26" i="44" s="1"/>
  <c r="L26" i="44"/>
  <c r="N25" i="44"/>
  <c r="L25" i="44"/>
  <c r="N24" i="44"/>
  <c r="L24" i="44"/>
  <c r="N23" i="44"/>
  <c r="L23" i="44"/>
  <c r="N22" i="44"/>
  <c r="L22" i="44"/>
  <c r="O22" i="44" s="1"/>
  <c r="N21" i="44"/>
  <c r="L21" i="44"/>
  <c r="N20" i="44"/>
  <c r="L20" i="44"/>
  <c r="N19" i="44"/>
  <c r="O19" i="44" s="1"/>
  <c r="L19" i="44"/>
  <c r="N18" i="44"/>
  <c r="L18" i="44"/>
  <c r="C17" i="44"/>
  <c r="F17" i="44" s="1"/>
  <c r="D18" i="44" s="1"/>
  <c r="B18" i="44" s="1"/>
  <c r="K11" i="44"/>
  <c r="I11" i="44"/>
  <c r="P1" i="44"/>
  <c r="P83" i="44" s="1"/>
  <c r="O70" i="45"/>
  <c r="C18" i="45"/>
  <c r="C19" i="45"/>
  <c r="C20" i="45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C45" i="45" s="1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F17" i="45"/>
  <c r="D18" i="45" s="1"/>
  <c r="B18" i="45" s="1"/>
  <c r="L17" i="44"/>
  <c r="N17" i="44"/>
  <c r="M17" i="40"/>
  <c r="N17" i="40" s="1"/>
  <c r="K17" i="40"/>
  <c r="M18" i="39"/>
  <c r="N18" i="39"/>
  <c r="K18" i="39"/>
  <c r="L18" i="39"/>
  <c r="D18" i="38"/>
  <c r="M18" i="38"/>
  <c r="N18" i="38"/>
  <c r="K18" i="38"/>
  <c r="L18" i="38"/>
  <c r="M18" i="37"/>
  <c r="N18" i="37" s="1"/>
  <c r="K18" i="37"/>
  <c r="L18" i="37" s="1"/>
  <c r="M21" i="31"/>
  <c r="N21" i="31"/>
  <c r="K21" i="31"/>
  <c r="L21" i="31"/>
  <c r="M20" i="30"/>
  <c r="N20" i="30" s="1"/>
  <c r="K20" i="30"/>
  <c r="L20" i="30" s="1"/>
  <c r="M21" i="29"/>
  <c r="N21" i="29"/>
  <c r="K21" i="29"/>
  <c r="L21" i="29"/>
  <c r="M21" i="28"/>
  <c r="N21" i="28" s="1"/>
  <c r="K21" i="28"/>
  <c r="L21" i="28" s="1"/>
  <c r="M22" i="27"/>
  <c r="N22" i="27"/>
  <c r="K22" i="27"/>
  <c r="L22" i="27"/>
  <c r="M25" i="25"/>
  <c r="N25" i="25" s="1"/>
  <c r="K25" i="25"/>
  <c r="L25" i="25" s="1"/>
  <c r="M23" i="24"/>
  <c r="N23" i="24"/>
  <c r="K23" i="24"/>
  <c r="L23" i="24"/>
  <c r="M24" i="23"/>
  <c r="N24" i="23" s="1"/>
  <c r="K24" i="23"/>
  <c r="L24" i="23" s="1"/>
  <c r="M25" i="22"/>
  <c r="N25" i="22"/>
  <c r="O25" i="22" s="1"/>
  <c r="K25" i="22"/>
  <c r="L25" i="22"/>
  <c r="M28" i="11"/>
  <c r="N28" i="11"/>
  <c r="K28" i="11"/>
  <c r="L28" i="11"/>
  <c r="M29" i="10"/>
  <c r="N29" i="10" s="1"/>
  <c r="O29" i="10" s="1"/>
  <c r="L29" i="10"/>
  <c r="K29" i="10"/>
  <c r="M28" i="9"/>
  <c r="N28" i="9" s="1"/>
  <c r="K28" i="9"/>
  <c r="L28" i="9"/>
  <c r="M27" i="8"/>
  <c r="N27" i="8"/>
  <c r="K27" i="8"/>
  <c r="L27" i="8" s="1"/>
  <c r="M29" i="7"/>
  <c r="N29" i="7" s="1"/>
  <c r="O29" i="7" s="1"/>
  <c r="K29" i="7"/>
  <c r="L29" i="7" s="1"/>
  <c r="M27" i="6"/>
  <c r="N27" i="6" s="1"/>
  <c r="K27" i="6"/>
  <c r="L27" i="6"/>
  <c r="M26" i="5"/>
  <c r="N26" i="5"/>
  <c r="K26" i="5"/>
  <c r="L26" i="5" s="1"/>
  <c r="M26" i="4"/>
  <c r="N26" i="4"/>
  <c r="K26" i="4"/>
  <c r="L26" i="4"/>
  <c r="M26" i="3"/>
  <c r="N26" i="3"/>
  <c r="O26" i="3" s="1"/>
  <c r="K26" i="3"/>
  <c r="L26" i="3" s="1"/>
  <c r="F75" i="1"/>
  <c r="F64" i="1"/>
  <c r="F46" i="1"/>
  <c r="E35" i="1"/>
  <c r="E18" i="1"/>
  <c r="F13" i="1"/>
  <c r="E36" i="1"/>
  <c r="C89" i="1"/>
  <c r="C75" i="1"/>
  <c r="C58" i="1"/>
  <c r="C46" i="1"/>
  <c r="C35" i="1"/>
  <c r="C31" i="1"/>
  <c r="D17" i="1"/>
  <c r="L19" i="1"/>
  <c r="T14" i="17"/>
  <c r="W42" i="17"/>
  <c r="P42" i="17"/>
  <c r="W41" i="17"/>
  <c r="P41" i="17"/>
  <c r="W40" i="17"/>
  <c r="P40" i="17"/>
  <c r="W39" i="17"/>
  <c r="P39" i="17"/>
  <c r="M17" i="39"/>
  <c r="K17" i="39"/>
  <c r="M17" i="38"/>
  <c r="K17" i="38"/>
  <c r="M17" i="37"/>
  <c r="K17" i="37"/>
  <c r="N101" i="31"/>
  <c r="O101" i="31"/>
  <c r="L101" i="31"/>
  <c r="M101" i="31" s="1"/>
  <c r="P101" i="31" s="1"/>
  <c r="M20" i="31"/>
  <c r="N20" i="31"/>
  <c r="K20" i="31"/>
  <c r="L20" i="31" s="1"/>
  <c r="N100" i="30"/>
  <c r="O100" i="30"/>
  <c r="P100" i="30" s="1"/>
  <c r="L100" i="30"/>
  <c r="M100" i="30"/>
  <c r="M19" i="30"/>
  <c r="N19" i="30"/>
  <c r="O19" i="30" s="1"/>
  <c r="K19" i="30"/>
  <c r="L19" i="30"/>
  <c r="N101" i="29"/>
  <c r="O101" i="29"/>
  <c r="P101" i="29" s="1"/>
  <c r="L101" i="29"/>
  <c r="M101" i="29"/>
  <c r="M20" i="29"/>
  <c r="N20" i="29"/>
  <c r="K20" i="29"/>
  <c r="L20" i="29" s="1"/>
  <c r="N101" i="28"/>
  <c r="O101" i="28" s="1"/>
  <c r="L101" i="28"/>
  <c r="M101" i="28"/>
  <c r="M20" i="28"/>
  <c r="N20" i="28"/>
  <c r="K20" i="28"/>
  <c r="L20" i="28" s="1"/>
  <c r="O20" i="28" s="1"/>
  <c r="N102" i="27"/>
  <c r="O102" i="27"/>
  <c r="P102" i="27"/>
  <c r="L102" i="27"/>
  <c r="M102" i="27"/>
  <c r="M21" i="27"/>
  <c r="N21" i="27" s="1"/>
  <c r="O21" i="27" s="1"/>
  <c r="K21" i="27"/>
  <c r="L21" i="27"/>
  <c r="N105" i="25"/>
  <c r="O105" i="25" s="1"/>
  <c r="L105" i="25"/>
  <c r="M105" i="25"/>
  <c r="M24" i="25"/>
  <c r="N24" i="25"/>
  <c r="K24" i="25"/>
  <c r="L24" i="25"/>
  <c r="N103" i="24"/>
  <c r="O103" i="24" s="1"/>
  <c r="P103" i="24" s="1"/>
  <c r="L103" i="24"/>
  <c r="M103" i="24" s="1"/>
  <c r="M22" i="24"/>
  <c r="N22" i="24" s="1"/>
  <c r="K22" i="24"/>
  <c r="L22" i="24"/>
  <c r="N104" i="23"/>
  <c r="O104" i="23"/>
  <c r="L104" i="23"/>
  <c r="M104" i="23" s="1"/>
  <c r="M23" i="23"/>
  <c r="N23" i="23" s="1"/>
  <c r="O23" i="23" s="1"/>
  <c r="K23" i="23"/>
  <c r="L23" i="23" s="1"/>
  <c r="N105" i="22"/>
  <c r="O105" i="22"/>
  <c r="P105" i="22" s="1"/>
  <c r="L105" i="22"/>
  <c r="M105" i="22"/>
  <c r="M24" i="22"/>
  <c r="N24" i="22"/>
  <c r="K24" i="22"/>
  <c r="L24" i="22"/>
  <c r="N108" i="11"/>
  <c r="O108" i="11" s="1"/>
  <c r="L108" i="11"/>
  <c r="M108" i="11" s="1"/>
  <c r="M27" i="11"/>
  <c r="N27" i="11"/>
  <c r="O27" i="11" s="1"/>
  <c r="K27" i="11"/>
  <c r="L27" i="11"/>
  <c r="N109" i="10"/>
  <c r="O109" i="10"/>
  <c r="L109" i="10"/>
  <c r="M109" i="10"/>
  <c r="M28" i="10"/>
  <c r="N28" i="10"/>
  <c r="K28" i="10"/>
  <c r="L28" i="10" s="1"/>
  <c r="N108" i="9"/>
  <c r="O108" i="9" s="1"/>
  <c r="L108" i="9"/>
  <c r="M108" i="9"/>
  <c r="M27" i="9"/>
  <c r="N27" i="9"/>
  <c r="K27" i="9"/>
  <c r="L27" i="9" s="1"/>
  <c r="O27" i="9" s="1"/>
  <c r="N107" i="8"/>
  <c r="O107" i="8"/>
  <c r="P107" i="8" s="1"/>
  <c r="L107" i="8"/>
  <c r="M107" i="8" s="1"/>
  <c r="N26" i="8"/>
  <c r="O26" i="8" s="1"/>
  <c r="M26" i="8"/>
  <c r="K26" i="8"/>
  <c r="L26" i="8"/>
  <c r="N109" i="7"/>
  <c r="O109" i="7" s="1"/>
  <c r="P109" i="7" s="1"/>
  <c r="L109" i="7"/>
  <c r="M109" i="7" s="1"/>
  <c r="M28" i="7"/>
  <c r="N28" i="7" s="1"/>
  <c r="K28" i="7"/>
  <c r="L28" i="7"/>
  <c r="N107" i="6"/>
  <c r="O107" i="6" s="1"/>
  <c r="L107" i="6"/>
  <c r="M107" i="6" s="1"/>
  <c r="M26" i="6"/>
  <c r="N26" i="6" s="1"/>
  <c r="O26" i="6" s="1"/>
  <c r="K26" i="6"/>
  <c r="L26" i="6"/>
  <c r="N106" i="5"/>
  <c r="O106" i="5"/>
  <c r="L106" i="5"/>
  <c r="M106" i="5"/>
  <c r="M25" i="5"/>
  <c r="N25" i="5"/>
  <c r="K25" i="5"/>
  <c r="L25" i="5" s="1"/>
  <c r="N106" i="4"/>
  <c r="O106" i="4"/>
  <c r="P106" i="4" s="1"/>
  <c r="L106" i="4"/>
  <c r="M106" i="4" s="1"/>
  <c r="M25" i="4"/>
  <c r="N25" i="4"/>
  <c r="O25" i="4" s="1"/>
  <c r="K25" i="4"/>
  <c r="L25" i="4" s="1"/>
  <c r="N106" i="3"/>
  <c r="O106" i="3"/>
  <c r="L106" i="3"/>
  <c r="M106" i="3"/>
  <c r="M25" i="3"/>
  <c r="N25" i="3" s="1"/>
  <c r="O25" i="3" s="1"/>
  <c r="L25" i="3"/>
  <c r="K25" i="3"/>
  <c r="P154" i="43"/>
  <c r="O154" i="43"/>
  <c r="M154" i="43"/>
  <c r="J154" i="43"/>
  <c r="P153" i="43"/>
  <c r="O153" i="43"/>
  <c r="M153" i="43"/>
  <c r="J153" i="43"/>
  <c r="P152" i="43"/>
  <c r="O152" i="43"/>
  <c r="M152" i="43"/>
  <c r="J152" i="43"/>
  <c r="P151" i="43"/>
  <c r="O151" i="43"/>
  <c r="M151" i="43"/>
  <c r="J151" i="43"/>
  <c r="P150" i="43"/>
  <c r="O150" i="43"/>
  <c r="M150" i="43"/>
  <c r="J150" i="43"/>
  <c r="P149" i="43"/>
  <c r="O149" i="43"/>
  <c r="M149" i="43"/>
  <c r="J149" i="43"/>
  <c r="P148" i="43"/>
  <c r="O148" i="43"/>
  <c r="M148" i="43"/>
  <c r="J148" i="43"/>
  <c r="P147" i="43"/>
  <c r="O147" i="43"/>
  <c r="M147" i="43"/>
  <c r="J147" i="43"/>
  <c r="P146" i="43"/>
  <c r="O146" i="43"/>
  <c r="M146" i="43"/>
  <c r="J146" i="43"/>
  <c r="P145" i="43"/>
  <c r="O145" i="43"/>
  <c r="M145" i="43"/>
  <c r="J145" i="43"/>
  <c r="P144" i="43"/>
  <c r="O144" i="43"/>
  <c r="M144" i="43"/>
  <c r="J144" i="43"/>
  <c r="P143" i="43"/>
  <c r="O143" i="43"/>
  <c r="M143" i="43"/>
  <c r="J143" i="43"/>
  <c r="P142" i="43"/>
  <c r="O142" i="43"/>
  <c r="M142" i="43"/>
  <c r="J142" i="43"/>
  <c r="P141" i="43"/>
  <c r="O141" i="43"/>
  <c r="M141" i="43"/>
  <c r="J141" i="43"/>
  <c r="P140" i="43"/>
  <c r="O140" i="43"/>
  <c r="M140" i="43"/>
  <c r="J140" i="43"/>
  <c r="P139" i="43"/>
  <c r="O139" i="43"/>
  <c r="M139" i="43"/>
  <c r="J139" i="43"/>
  <c r="P138" i="43"/>
  <c r="O138" i="43"/>
  <c r="M138" i="43"/>
  <c r="J138" i="43"/>
  <c r="P137" i="43"/>
  <c r="O137" i="43"/>
  <c r="M137" i="43"/>
  <c r="J137" i="43"/>
  <c r="P136" i="43"/>
  <c r="O136" i="43"/>
  <c r="M136" i="43"/>
  <c r="J136" i="43"/>
  <c r="P135" i="43"/>
  <c r="O135" i="43"/>
  <c r="M135" i="43"/>
  <c r="J135" i="43"/>
  <c r="P134" i="43"/>
  <c r="O134" i="43"/>
  <c r="M134" i="43"/>
  <c r="J134" i="43"/>
  <c r="P133" i="43"/>
  <c r="O133" i="43"/>
  <c r="M133" i="43"/>
  <c r="J133" i="43"/>
  <c r="P132" i="43"/>
  <c r="O132" i="43"/>
  <c r="M132" i="43"/>
  <c r="J132" i="43"/>
  <c r="P131" i="43"/>
  <c r="O131" i="43"/>
  <c r="M131" i="43"/>
  <c r="J131" i="43"/>
  <c r="O130" i="43"/>
  <c r="M130" i="43"/>
  <c r="O129" i="43"/>
  <c r="M129" i="43"/>
  <c r="O128" i="43"/>
  <c r="M128" i="43"/>
  <c r="O127" i="43"/>
  <c r="M127" i="43"/>
  <c r="O126" i="43"/>
  <c r="M126" i="43"/>
  <c r="O125" i="43"/>
  <c r="M125" i="43"/>
  <c r="O124" i="43"/>
  <c r="M124" i="43"/>
  <c r="O123" i="43"/>
  <c r="M123" i="43"/>
  <c r="O122" i="43"/>
  <c r="M122" i="43"/>
  <c r="O121" i="43"/>
  <c r="M121" i="43"/>
  <c r="O120" i="43"/>
  <c r="M120" i="43"/>
  <c r="O119" i="43"/>
  <c r="M119" i="43"/>
  <c r="O118" i="43"/>
  <c r="M118" i="43"/>
  <c r="O117" i="43"/>
  <c r="M117" i="43"/>
  <c r="O116" i="43"/>
  <c r="M116" i="43"/>
  <c r="O115" i="43"/>
  <c r="M115" i="43"/>
  <c r="O114" i="43"/>
  <c r="M114" i="43"/>
  <c r="O113" i="43"/>
  <c r="M113" i="43"/>
  <c r="O112" i="43"/>
  <c r="M112" i="43"/>
  <c r="O111" i="43"/>
  <c r="M111" i="43"/>
  <c r="O110" i="43"/>
  <c r="M110" i="43"/>
  <c r="O109" i="43"/>
  <c r="M109" i="43"/>
  <c r="O108" i="43"/>
  <c r="M108" i="43"/>
  <c r="O107" i="43"/>
  <c r="M107" i="43"/>
  <c r="O106" i="43"/>
  <c r="M106" i="43"/>
  <c r="O105" i="43"/>
  <c r="M105" i="43"/>
  <c r="O104" i="43"/>
  <c r="M104" i="43"/>
  <c r="O103" i="43"/>
  <c r="M103" i="43"/>
  <c r="O102" i="43"/>
  <c r="M102" i="43"/>
  <c r="O101" i="43"/>
  <c r="M101" i="43"/>
  <c r="O100" i="43"/>
  <c r="M100" i="43"/>
  <c r="O99" i="43"/>
  <c r="M99" i="43"/>
  <c r="D96" i="43"/>
  <c r="L93" i="43"/>
  <c r="J93" i="43"/>
  <c r="D91" i="43"/>
  <c r="D89" i="43"/>
  <c r="N72" i="43"/>
  <c r="L72" i="43"/>
  <c r="N71" i="43"/>
  <c r="L71" i="43"/>
  <c r="N70" i="43"/>
  <c r="L70" i="43"/>
  <c r="N69" i="43"/>
  <c r="L69" i="43"/>
  <c r="N68" i="43"/>
  <c r="L68" i="43"/>
  <c r="N67" i="43"/>
  <c r="L67" i="43"/>
  <c r="N66" i="43"/>
  <c r="L66" i="43"/>
  <c r="N65" i="43"/>
  <c r="O65" i="43"/>
  <c r="L65" i="43"/>
  <c r="N64" i="43"/>
  <c r="L64" i="43"/>
  <c r="N63" i="43"/>
  <c r="L63" i="43"/>
  <c r="N62" i="43"/>
  <c r="L62" i="43"/>
  <c r="N61" i="43"/>
  <c r="L61" i="43"/>
  <c r="N60" i="43"/>
  <c r="L60" i="43"/>
  <c r="N59" i="43"/>
  <c r="L59" i="43"/>
  <c r="N58" i="43"/>
  <c r="L58" i="43"/>
  <c r="N57" i="43"/>
  <c r="L57" i="43"/>
  <c r="N56" i="43"/>
  <c r="L56" i="43"/>
  <c r="N55" i="43"/>
  <c r="L55" i="43"/>
  <c r="N54" i="43"/>
  <c r="L54" i="43"/>
  <c r="N53" i="43"/>
  <c r="L53" i="43"/>
  <c r="N52" i="43"/>
  <c r="L52" i="43"/>
  <c r="N51" i="43"/>
  <c r="L51" i="43"/>
  <c r="N50" i="43"/>
  <c r="L50" i="43"/>
  <c r="N49" i="43"/>
  <c r="L49" i="43"/>
  <c r="N48" i="43"/>
  <c r="L48" i="43"/>
  <c r="N47" i="43"/>
  <c r="O47" i="43" s="1"/>
  <c r="L47" i="43"/>
  <c r="N46" i="43"/>
  <c r="L46" i="43"/>
  <c r="N45" i="43"/>
  <c r="O45" i="43"/>
  <c r="L45" i="43"/>
  <c r="N44" i="43"/>
  <c r="L44" i="43"/>
  <c r="N43" i="43"/>
  <c r="L43" i="43"/>
  <c r="N42" i="43"/>
  <c r="L42" i="43"/>
  <c r="O42" i="43" s="1"/>
  <c r="N41" i="43"/>
  <c r="L41" i="43"/>
  <c r="N40" i="43"/>
  <c r="L40" i="43"/>
  <c r="N39" i="43"/>
  <c r="L39" i="43"/>
  <c r="N38" i="43"/>
  <c r="L38" i="43"/>
  <c r="N37" i="43"/>
  <c r="L37" i="43"/>
  <c r="N36" i="43"/>
  <c r="L36" i="43"/>
  <c r="N35" i="43"/>
  <c r="L35" i="43"/>
  <c r="N34" i="43"/>
  <c r="L34" i="43"/>
  <c r="N33" i="43"/>
  <c r="L33" i="43"/>
  <c r="N32" i="43"/>
  <c r="L32" i="43"/>
  <c r="N31" i="43"/>
  <c r="L31" i="43"/>
  <c r="N30" i="43"/>
  <c r="L30" i="43"/>
  <c r="N29" i="43"/>
  <c r="L29" i="43"/>
  <c r="N28" i="43"/>
  <c r="L28" i="43"/>
  <c r="N27" i="43"/>
  <c r="L27" i="43"/>
  <c r="N26" i="43"/>
  <c r="L26" i="43"/>
  <c r="N25" i="43"/>
  <c r="O25" i="43" s="1"/>
  <c r="L25" i="43"/>
  <c r="N24" i="43"/>
  <c r="L24" i="43"/>
  <c r="N23" i="43"/>
  <c r="L23" i="43"/>
  <c r="N22" i="43"/>
  <c r="L22" i="43"/>
  <c r="N21" i="43"/>
  <c r="L21" i="43"/>
  <c r="N20" i="43"/>
  <c r="L20" i="43"/>
  <c r="N19" i="43"/>
  <c r="L19" i="43"/>
  <c r="N18" i="43"/>
  <c r="L18" i="43"/>
  <c r="C17" i="43"/>
  <c r="C18" i="43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K11" i="43"/>
  <c r="I11" i="43"/>
  <c r="D90" i="43"/>
  <c r="P1" i="43"/>
  <c r="P83" i="43" s="1"/>
  <c r="P154" i="42"/>
  <c r="O154" i="42"/>
  <c r="M154" i="42"/>
  <c r="J154" i="42"/>
  <c r="P153" i="42"/>
  <c r="O153" i="42"/>
  <c r="M153" i="42"/>
  <c r="J153" i="42"/>
  <c r="P152" i="42"/>
  <c r="O152" i="42"/>
  <c r="M152" i="42"/>
  <c r="J152" i="42"/>
  <c r="P151" i="42"/>
  <c r="O151" i="42"/>
  <c r="M151" i="42"/>
  <c r="J151" i="42"/>
  <c r="P150" i="42"/>
  <c r="O150" i="42"/>
  <c r="M150" i="42"/>
  <c r="J150" i="42"/>
  <c r="P149" i="42"/>
  <c r="O149" i="42"/>
  <c r="M149" i="42"/>
  <c r="J149" i="42"/>
  <c r="P148" i="42"/>
  <c r="O148" i="42"/>
  <c r="M148" i="42"/>
  <c r="J148" i="42"/>
  <c r="P147" i="42"/>
  <c r="O147" i="42"/>
  <c r="M147" i="42"/>
  <c r="J147" i="42"/>
  <c r="P146" i="42"/>
  <c r="O146" i="42"/>
  <c r="M146" i="42"/>
  <c r="J146" i="42"/>
  <c r="P145" i="42"/>
  <c r="O145" i="42"/>
  <c r="M145" i="42"/>
  <c r="J145" i="42"/>
  <c r="P144" i="42"/>
  <c r="O144" i="42"/>
  <c r="M144" i="42"/>
  <c r="J144" i="42"/>
  <c r="P143" i="42"/>
  <c r="O143" i="42"/>
  <c r="M143" i="42"/>
  <c r="J143" i="42"/>
  <c r="P142" i="42"/>
  <c r="O142" i="42"/>
  <c r="M142" i="42"/>
  <c r="J142" i="42"/>
  <c r="P141" i="42"/>
  <c r="O141" i="42"/>
  <c r="M141" i="42"/>
  <c r="J141" i="42"/>
  <c r="P140" i="42"/>
  <c r="O140" i="42"/>
  <c r="M140" i="42"/>
  <c r="J140" i="42"/>
  <c r="P139" i="42"/>
  <c r="O139" i="42"/>
  <c r="M139" i="42"/>
  <c r="J139" i="42"/>
  <c r="P138" i="42"/>
  <c r="O138" i="42"/>
  <c r="M138" i="42"/>
  <c r="J138" i="42"/>
  <c r="P137" i="42"/>
  <c r="O137" i="42"/>
  <c r="M137" i="42"/>
  <c r="J137" i="42"/>
  <c r="P136" i="42"/>
  <c r="O136" i="42"/>
  <c r="M136" i="42"/>
  <c r="J136" i="42"/>
  <c r="P135" i="42"/>
  <c r="O135" i="42"/>
  <c r="M135" i="42"/>
  <c r="J135" i="42"/>
  <c r="P134" i="42"/>
  <c r="O134" i="42"/>
  <c r="M134" i="42"/>
  <c r="J134" i="42"/>
  <c r="P133" i="42"/>
  <c r="O133" i="42"/>
  <c r="M133" i="42"/>
  <c r="J133" i="42"/>
  <c r="P132" i="42"/>
  <c r="O132" i="42"/>
  <c r="M132" i="42"/>
  <c r="J132" i="42"/>
  <c r="P131" i="42"/>
  <c r="O131" i="42"/>
  <c r="M131" i="42"/>
  <c r="J131" i="42"/>
  <c r="O130" i="42"/>
  <c r="M130" i="42"/>
  <c r="O129" i="42"/>
  <c r="M129" i="42"/>
  <c r="O128" i="42"/>
  <c r="M128" i="42"/>
  <c r="O127" i="42"/>
  <c r="M127" i="42"/>
  <c r="O126" i="42"/>
  <c r="M126" i="42"/>
  <c r="O125" i="42"/>
  <c r="M125" i="42"/>
  <c r="O124" i="42"/>
  <c r="M124" i="42"/>
  <c r="O123" i="42"/>
  <c r="M123" i="42"/>
  <c r="O122" i="42"/>
  <c r="M122" i="42"/>
  <c r="O121" i="42"/>
  <c r="M121" i="42"/>
  <c r="O120" i="42"/>
  <c r="M120" i="42"/>
  <c r="O119" i="42"/>
  <c r="M119" i="42"/>
  <c r="O118" i="42"/>
  <c r="M118" i="42"/>
  <c r="O117" i="42"/>
  <c r="M117" i="42"/>
  <c r="O116" i="42"/>
  <c r="M116" i="42"/>
  <c r="O115" i="42"/>
  <c r="M115" i="42"/>
  <c r="O114" i="42"/>
  <c r="M114" i="42"/>
  <c r="O113" i="42"/>
  <c r="M113" i="42"/>
  <c r="O112" i="42"/>
  <c r="P112" i="42" s="1"/>
  <c r="M112" i="42"/>
  <c r="O111" i="42"/>
  <c r="P111" i="42" s="1"/>
  <c r="M111" i="42"/>
  <c r="O110" i="42"/>
  <c r="M110" i="42"/>
  <c r="O109" i="42"/>
  <c r="M109" i="42"/>
  <c r="O108" i="42"/>
  <c r="P108" i="42" s="1"/>
  <c r="M108" i="42"/>
  <c r="O107" i="42"/>
  <c r="M107" i="42"/>
  <c r="O106" i="42"/>
  <c r="M106" i="42"/>
  <c r="O105" i="42"/>
  <c r="M105" i="42"/>
  <c r="O104" i="42"/>
  <c r="M104" i="42"/>
  <c r="O103" i="42"/>
  <c r="M103" i="42"/>
  <c r="O102" i="42"/>
  <c r="M102" i="42"/>
  <c r="O101" i="42"/>
  <c r="M101" i="42"/>
  <c r="O100" i="42"/>
  <c r="M100" i="42"/>
  <c r="O99" i="42"/>
  <c r="P99" i="42" s="1"/>
  <c r="M99" i="42"/>
  <c r="D96" i="42"/>
  <c r="L93" i="42"/>
  <c r="J93" i="42"/>
  <c r="D91" i="42"/>
  <c r="D89" i="42"/>
  <c r="N72" i="42"/>
  <c r="L72" i="42"/>
  <c r="N71" i="42"/>
  <c r="L71" i="42"/>
  <c r="N70" i="42"/>
  <c r="L70" i="42"/>
  <c r="N69" i="42"/>
  <c r="L69" i="42"/>
  <c r="N68" i="42"/>
  <c r="L68" i="42"/>
  <c r="N67" i="42"/>
  <c r="L67" i="42"/>
  <c r="N66" i="42"/>
  <c r="O66" i="42" s="1"/>
  <c r="L66" i="42"/>
  <c r="N65" i="42"/>
  <c r="L65" i="42"/>
  <c r="N64" i="42"/>
  <c r="L64" i="42"/>
  <c r="N63" i="42"/>
  <c r="L63" i="42"/>
  <c r="N62" i="42"/>
  <c r="L62" i="42"/>
  <c r="N61" i="42"/>
  <c r="L61" i="42"/>
  <c r="N60" i="42"/>
  <c r="L60" i="42"/>
  <c r="N59" i="42"/>
  <c r="L59" i="42"/>
  <c r="N58" i="42"/>
  <c r="L58" i="42"/>
  <c r="N57" i="42"/>
  <c r="L57" i="42"/>
  <c r="N56" i="42"/>
  <c r="L56" i="42"/>
  <c r="O56" i="42"/>
  <c r="N55" i="42"/>
  <c r="L55" i="42"/>
  <c r="N54" i="42"/>
  <c r="L54" i="42"/>
  <c r="N53" i="42"/>
  <c r="L53" i="42"/>
  <c r="N52" i="42"/>
  <c r="L52" i="42"/>
  <c r="N51" i="42"/>
  <c r="O51" i="42"/>
  <c r="L51" i="42"/>
  <c r="N50" i="42"/>
  <c r="L50" i="42"/>
  <c r="N49" i="42"/>
  <c r="O49" i="42" s="1"/>
  <c r="L49" i="42"/>
  <c r="N48" i="42"/>
  <c r="L48" i="42"/>
  <c r="N47" i="42"/>
  <c r="L47" i="42"/>
  <c r="O47" i="42" s="1"/>
  <c r="N46" i="42"/>
  <c r="O46" i="42" s="1"/>
  <c r="L46" i="42"/>
  <c r="N45" i="42"/>
  <c r="L45" i="42"/>
  <c r="N44" i="42"/>
  <c r="L44" i="42"/>
  <c r="O44" i="42" s="1"/>
  <c r="N43" i="42"/>
  <c r="L43" i="42"/>
  <c r="N42" i="42"/>
  <c r="O42" i="42" s="1"/>
  <c r="L42" i="42"/>
  <c r="N41" i="42"/>
  <c r="L41" i="42"/>
  <c r="N40" i="42"/>
  <c r="L40" i="42"/>
  <c r="N39" i="42"/>
  <c r="L39" i="42"/>
  <c r="N38" i="42"/>
  <c r="O38" i="42"/>
  <c r="L38" i="42"/>
  <c r="N37" i="42"/>
  <c r="L37" i="42"/>
  <c r="N36" i="42"/>
  <c r="L36" i="42"/>
  <c r="N35" i="42"/>
  <c r="L35" i="42"/>
  <c r="N34" i="42"/>
  <c r="L34" i="42"/>
  <c r="N33" i="42"/>
  <c r="L33" i="42"/>
  <c r="N32" i="42"/>
  <c r="L32" i="42"/>
  <c r="N31" i="42"/>
  <c r="L31" i="42"/>
  <c r="N30" i="42"/>
  <c r="O30" i="42" s="1"/>
  <c r="L30" i="42"/>
  <c r="N29" i="42"/>
  <c r="L29" i="42"/>
  <c r="N28" i="42"/>
  <c r="O28" i="42"/>
  <c r="L28" i="42"/>
  <c r="N27" i="42"/>
  <c r="L27" i="42"/>
  <c r="N26" i="42"/>
  <c r="L26" i="42"/>
  <c r="N25" i="42"/>
  <c r="L25" i="42"/>
  <c r="N24" i="42"/>
  <c r="O24" i="42" s="1"/>
  <c r="L24" i="42"/>
  <c r="N23" i="42"/>
  <c r="L23" i="42"/>
  <c r="N22" i="42"/>
  <c r="O22" i="42" s="1"/>
  <c r="L22" i="42"/>
  <c r="N21" i="42"/>
  <c r="L21" i="42"/>
  <c r="N20" i="42"/>
  <c r="L20" i="42"/>
  <c r="N19" i="42"/>
  <c r="L19" i="42"/>
  <c r="N18" i="42"/>
  <c r="O18" i="42" s="1"/>
  <c r="L18" i="42"/>
  <c r="C17" i="42"/>
  <c r="K11" i="42"/>
  <c r="I11" i="42"/>
  <c r="D90" i="42"/>
  <c r="P1" i="42"/>
  <c r="P83" i="42" s="1"/>
  <c r="P154" i="41"/>
  <c r="O154" i="41"/>
  <c r="M154" i="41"/>
  <c r="J154" i="41"/>
  <c r="P153" i="41"/>
  <c r="O153" i="41"/>
  <c r="M153" i="41"/>
  <c r="J153" i="41"/>
  <c r="P152" i="41"/>
  <c r="O152" i="41"/>
  <c r="M152" i="41"/>
  <c r="J152" i="41"/>
  <c r="P151" i="41"/>
  <c r="O151" i="41"/>
  <c r="M151" i="41"/>
  <c r="J151" i="41"/>
  <c r="P150" i="41"/>
  <c r="O150" i="41"/>
  <c r="M150" i="41"/>
  <c r="J150" i="41"/>
  <c r="P149" i="41"/>
  <c r="O149" i="41"/>
  <c r="M149" i="41"/>
  <c r="J149" i="41"/>
  <c r="P148" i="41"/>
  <c r="O148" i="41"/>
  <c r="M148" i="41"/>
  <c r="J148" i="41"/>
  <c r="P147" i="41"/>
  <c r="O147" i="41"/>
  <c r="M147" i="41"/>
  <c r="J147" i="41"/>
  <c r="P146" i="41"/>
  <c r="O146" i="41"/>
  <c r="M146" i="41"/>
  <c r="J146" i="41"/>
  <c r="P145" i="41"/>
  <c r="O145" i="41"/>
  <c r="M145" i="41"/>
  <c r="J145" i="41"/>
  <c r="P144" i="41"/>
  <c r="O144" i="41"/>
  <c r="M144" i="41"/>
  <c r="J144" i="41"/>
  <c r="P143" i="41"/>
  <c r="O143" i="41"/>
  <c r="M143" i="41"/>
  <c r="J143" i="41"/>
  <c r="P142" i="41"/>
  <c r="O142" i="41"/>
  <c r="M142" i="41"/>
  <c r="J142" i="41"/>
  <c r="P141" i="41"/>
  <c r="O141" i="41"/>
  <c r="M141" i="41"/>
  <c r="J141" i="41"/>
  <c r="P140" i="41"/>
  <c r="O140" i="41"/>
  <c r="M140" i="41"/>
  <c r="J140" i="41"/>
  <c r="P139" i="41"/>
  <c r="O139" i="41"/>
  <c r="M139" i="41"/>
  <c r="J139" i="41"/>
  <c r="P138" i="41"/>
  <c r="O138" i="41"/>
  <c r="M138" i="41"/>
  <c r="J138" i="41"/>
  <c r="P137" i="41"/>
  <c r="O137" i="41"/>
  <c r="M137" i="41"/>
  <c r="J137" i="41"/>
  <c r="P136" i="41"/>
  <c r="O136" i="41"/>
  <c r="M136" i="41"/>
  <c r="J136" i="41"/>
  <c r="P135" i="41"/>
  <c r="O135" i="41"/>
  <c r="M135" i="41"/>
  <c r="J135" i="41"/>
  <c r="P134" i="41"/>
  <c r="O134" i="41"/>
  <c r="M134" i="41"/>
  <c r="J134" i="41"/>
  <c r="P133" i="41"/>
  <c r="O133" i="41"/>
  <c r="M133" i="41"/>
  <c r="J133" i="41"/>
  <c r="P132" i="41"/>
  <c r="O132" i="41"/>
  <c r="M132" i="41"/>
  <c r="J132" i="41"/>
  <c r="P131" i="41"/>
  <c r="O131" i="41"/>
  <c r="M131" i="41"/>
  <c r="J131" i="41"/>
  <c r="O130" i="41"/>
  <c r="M130" i="41"/>
  <c r="O129" i="41"/>
  <c r="M129" i="41"/>
  <c r="O128" i="41"/>
  <c r="M128" i="41"/>
  <c r="O127" i="41"/>
  <c r="M127" i="41"/>
  <c r="P127" i="41" s="1"/>
  <c r="O126" i="41"/>
  <c r="P126" i="41" s="1"/>
  <c r="M126" i="41"/>
  <c r="O125" i="41"/>
  <c r="M125" i="41"/>
  <c r="O124" i="41"/>
  <c r="M124" i="41"/>
  <c r="O123" i="41"/>
  <c r="M123" i="41"/>
  <c r="O122" i="41"/>
  <c r="P122" i="41" s="1"/>
  <c r="M122" i="41"/>
  <c r="O121" i="41"/>
  <c r="M121" i="41"/>
  <c r="O120" i="41"/>
  <c r="M120" i="41"/>
  <c r="O119" i="41"/>
  <c r="M119" i="41"/>
  <c r="O118" i="41"/>
  <c r="P118" i="41" s="1"/>
  <c r="M118" i="41"/>
  <c r="O117" i="41"/>
  <c r="M117" i="41"/>
  <c r="O116" i="41"/>
  <c r="M116" i="41"/>
  <c r="O115" i="41"/>
  <c r="M115" i="41"/>
  <c r="O114" i="41"/>
  <c r="M114" i="41"/>
  <c r="O113" i="41"/>
  <c r="M113" i="41"/>
  <c r="O112" i="41"/>
  <c r="M112" i="41"/>
  <c r="O111" i="41"/>
  <c r="M111" i="41"/>
  <c r="O110" i="41"/>
  <c r="M110" i="41"/>
  <c r="O109" i="41"/>
  <c r="M109" i="41"/>
  <c r="O108" i="41"/>
  <c r="P108" i="41" s="1"/>
  <c r="M108" i="41"/>
  <c r="O107" i="41"/>
  <c r="M107" i="41"/>
  <c r="O106" i="41"/>
  <c r="M106" i="41"/>
  <c r="O105" i="41"/>
  <c r="M105" i="41"/>
  <c r="O104" i="41"/>
  <c r="M104" i="41"/>
  <c r="O103" i="41"/>
  <c r="M103" i="41"/>
  <c r="O102" i="41"/>
  <c r="M102" i="41"/>
  <c r="O101" i="41"/>
  <c r="M101" i="41"/>
  <c r="O100" i="41"/>
  <c r="M100" i="41"/>
  <c r="O99" i="41"/>
  <c r="M99" i="41"/>
  <c r="D96" i="41"/>
  <c r="L93" i="41"/>
  <c r="J93" i="41"/>
  <c r="D91" i="41"/>
  <c r="D89" i="41"/>
  <c r="N72" i="41"/>
  <c r="O72" i="41"/>
  <c r="L72" i="41"/>
  <c r="N71" i="41"/>
  <c r="L71" i="41"/>
  <c r="N70" i="41"/>
  <c r="O70" i="41" s="1"/>
  <c r="L70" i="41"/>
  <c r="N69" i="41"/>
  <c r="L69" i="41"/>
  <c r="N68" i="41"/>
  <c r="L68" i="41"/>
  <c r="N67" i="41"/>
  <c r="O67" i="41" s="1"/>
  <c r="L67" i="41"/>
  <c r="N66" i="41"/>
  <c r="O66" i="41" s="1"/>
  <c r="L66" i="41"/>
  <c r="N65" i="41"/>
  <c r="L65" i="41"/>
  <c r="N64" i="41"/>
  <c r="L64" i="41"/>
  <c r="N63" i="41"/>
  <c r="L63" i="41"/>
  <c r="N62" i="41"/>
  <c r="L62" i="41"/>
  <c r="N61" i="41"/>
  <c r="L61" i="41"/>
  <c r="N60" i="41"/>
  <c r="L60" i="41"/>
  <c r="N59" i="41"/>
  <c r="L59" i="41"/>
  <c r="N58" i="41"/>
  <c r="L58" i="41"/>
  <c r="N57" i="41"/>
  <c r="L57" i="41"/>
  <c r="N56" i="41"/>
  <c r="L56" i="41"/>
  <c r="N55" i="41"/>
  <c r="L55" i="41"/>
  <c r="N54" i="41"/>
  <c r="O54" i="41"/>
  <c r="L54" i="41"/>
  <c r="N53" i="41"/>
  <c r="L53" i="41"/>
  <c r="N52" i="41"/>
  <c r="L52" i="41"/>
  <c r="N51" i="41"/>
  <c r="L51" i="41"/>
  <c r="N50" i="41"/>
  <c r="L50" i="41"/>
  <c r="N49" i="41"/>
  <c r="L49" i="41"/>
  <c r="N48" i="41"/>
  <c r="L48" i="41"/>
  <c r="N47" i="41"/>
  <c r="L47" i="41"/>
  <c r="N46" i="41"/>
  <c r="L46" i="41"/>
  <c r="N45" i="41"/>
  <c r="L45" i="41"/>
  <c r="N44" i="41"/>
  <c r="L44" i="41"/>
  <c r="N43" i="41"/>
  <c r="L43" i="41"/>
  <c r="N42" i="41"/>
  <c r="O42" i="41" s="1"/>
  <c r="L42" i="41"/>
  <c r="N41" i="41"/>
  <c r="L41" i="41"/>
  <c r="N40" i="41"/>
  <c r="O40" i="41"/>
  <c r="L40" i="41"/>
  <c r="N39" i="41"/>
  <c r="L39" i="41"/>
  <c r="N38" i="41"/>
  <c r="L38" i="41"/>
  <c r="N37" i="41"/>
  <c r="L37" i="41"/>
  <c r="N36" i="41"/>
  <c r="L36" i="41"/>
  <c r="N35" i="41"/>
  <c r="L35" i="41"/>
  <c r="N34" i="41"/>
  <c r="L34" i="41"/>
  <c r="N33" i="41"/>
  <c r="O33" i="41" s="1"/>
  <c r="L33" i="41"/>
  <c r="N32" i="41"/>
  <c r="L32" i="41"/>
  <c r="N31" i="41"/>
  <c r="L31" i="41"/>
  <c r="N30" i="41"/>
  <c r="O30" i="41" s="1"/>
  <c r="L30" i="41"/>
  <c r="N29" i="41"/>
  <c r="L29" i="41"/>
  <c r="N28" i="41"/>
  <c r="L28" i="41"/>
  <c r="N27" i="41"/>
  <c r="O27" i="41" s="1"/>
  <c r="L27" i="41"/>
  <c r="N26" i="41"/>
  <c r="L26" i="41"/>
  <c r="N25" i="41"/>
  <c r="O25" i="41" s="1"/>
  <c r="L25" i="41"/>
  <c r="N24" i="41"/>
  <c r="L24" i="41"/>
  <c r="N23" i="41"/>
  <c r="O23" i="41"/>
  <c r="L23" i="41"/>
  <c r="N22" i="41"/>
  <c r="L22" i="41"/>
  <c r="N21" i="41"/>
  <c r="L21" i="41"/>
  <c r="N20" i="41"/>
  <c r="L20" i="41"/>
  <c r="N19" i="41"/>
  <c r="L19" i="41"/>
  <c r="N18" i="41"/>
  <c r="L18" i="41"/>
  <c r="C17" i="41"/>
  <c r="C18" i="41"/>
  <c r="C19" i="41" s="1"/>
  <c r="C20" i="41" s="1"/>
  <c r="C21" i="41" s="1"/>
  <c r="C22" i="41" s="1"/>
  <c r="C23" i="41" s="1"/>
  <c r="C24" i="41" s="1"/>
  <c r="C25" i="41" s="1"/>
  <c r="C26" i="41" s="1"/>
  <c r="C27" i="41" s="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K11" i="41"/>
  <c r="I11" i="41"/>
  <c r="D90" i="41"/>
  <c r="P1" i="41"/>
  <c r="P83" i="41" s="1"/>
  <c r="F64" i="2"/>
  <c r="E17" i="13"/>
  <c r="M16" i="2"/>
  <c r="J92" i="41" s="1"/>
  <c r="E36" i="2"/>
  <c r="C36" i="2"/>
  <c r="E35" i="2"/>
  <c r="C35" i="2"/>
  <c r="C36" i="1"/>
  <c r="N100" i="31"/>
  <c r="O100" i="31" s="1"/>
  <c r="L100" i="31"/>
  <c r="M100" i="31"/>
  <c r="M19" i="31"/>
  <c r="N19" i="31"/>
  <c r="O19" i="31" s="1"/>
  <c r="K19" i="31"/>
  <c r="L19" i="31" s="1"/>
  <c r="N99" i="30"/>
  <c r="L99" i="30"/>
  <c r="M18" i="30"/>
  <c r="N18" i="30" s="1"/>
  <c r="K18" i="30"/>
  <c r="L18" i="30" s="1"/>
  <c r="N100" i="29"/>
  <c r="O100" i="29"/>
  <c r="P100" i="29" s="1"/>
  <c r="L100" i="29"/>
  <c r="M100" i="29"/>
  <c r="M19" i="29"/>
  <c r="N19" i="29"/>
  <c r="O19" i="29" s="1"/>
  <c r="K19" i="29"/>
  <c r="L19" i="29"/>
  <c r="N100" i="28"/>
  <c r="O100" i="28" s="1"/>
  <c r="L100" i="28"/>
  <c r="M100" i="28"/>
  <c r="M19" i="28"/>
  <c r="N19" i="28" s="1"/>
  <c r="K19" i="28"/>
  <c r="L19" i="28" s="1"/>
  <c r="N101" i="27"/>
  <c r="O101" i="27"/>
  <c r="L101" i="27"/>
  <c r="M101" i="27"/>
  <c r="M20" i="27"/>
  <c r="N20" i="27" s="1"/>
  <c r="O20" i="27" s="1"/>
  <c r="K20" i="27"/>
  <c r="L20" i="27"/>
  <c r="N104" i="25"/>
  <c r="O104" i="25" s="1"/>
  <c r="L104" i="25"/>
  <c r="M104" i="25" s="1"/>
  <c r="M23" i="25"/>
  <c r="N23" i="25"/>
  <c r="O23" i="25" s="1"/>
  <c r="K23" i="25"/>
  <c r="L23" i="25"/>
  <c r="N102" i="24"/>
  <c r="O102" i="24"/>
  <c r="P102" i="24" s="1"/>
  <c r="L102" i="24"/>
  <c r="M102" i="24"/>
  <c r="M21" i="24"/>
  <c r="N21" i="24" s="1"/>
  <c r="K21" i="24"/>
  <c r="L21" i="24" s="1"/>
  <c r="N103" i="23"/>
  <c r="O103" i="23" s="1"/>
  <c r="L103" i="23"/>
  <c r="M103" i="23" s="1"/>
  <c r="M22" i="23"/>
  <c r="N22" i="23"/>
  <c r="K22" i="23"/>
  <c r="L22" i="23" s="1"/>
  <c r="N104" i="22"/>
  <c r="O104" i="22"/>
  <c r="L104" i="22"/>
  <c r="M104" i="22" s="1"/>
  <c r="P104" i="22" s="1"/>
  <c r="M23" i="22"/>
  <c r="N23" i="22"/>
  <c r="K23" i="22"/>
  <c r="L23" i="22"/>
  <c r="N107" i="11"/>
  <c r="O107" i="11" s="1"/>
  <c r="P107" i="11" s="1"/>
  <c r="L107" i="11"/>
  <c r="M107" i="11" s="1"/>
  <c r="M26" i="11"/>
  <c r="N26" i="11" s="1"/>
  <c r="K26" i="11"/>
  <c r="L26" i="11"/>
  <c r="N108" i="10"/>
  <c r="O108" i="10" s="1"/>
  <c r="P108" i="10" s="1"/>
  <c r="L108" i="10"/>
  <c r="M108" i="10"/>
  <c r="M27" i="10"/>
  <c r="N27" i="10"/>
  <c r="O27" i="10"/>
  <c r="K27" i="10"/>
  <c r="L27" i="10"/>
  <c r="N107" i="9"/>
  <c r="O107" i="9" s="1"/>
  <c r="P107" i="9" s="1"/>
  <c r="L107" i="9"/>
  <c r="M107" i="9"/>
  <c r="M26" i="9"/>
  <c r="N26" i="9" s="1"/>
  <c r="O26" i="9" s="1"/>
  <c r="K26" i="9"/>
  <c r="L26" i="9"/>
  <c r="N106" i="8"/>
  <c r="O106" i="8" s="1"/>
  <c r="L106" i="8"/>
  <c r="M106" i="8"/>
  <c r="M25" i="8"/>
  <c r="N25" i="8"/>
  <c r="K25" i="8"/>
  <c r="L25" i="8" s="1"/>
  <c r="N108" i="7"/>
  <c r="O108" i="7" s="1"/>
  <c r="P108" i="7" s="1"/>
  <c r="L108" i="7"/>
  <c r="M108" i="7" s="1"/>
  <c r="M27" i="7"/>
  <c r="N27" i="7"/>
  <c r="O27" i="7" s="1"/>
  <c r="K27" i="7"/>
  <c r="L27" i="7" s="1"/>
  <c r="M25" i="6"/>
  <c r="N25" i="6"/>
  <c r="K25" i="6"/>
  <c r="L25" i="6"/>
  <c r="O25" i="6"/>
  <c r="N106" i="6"/>
  <c r="O106" i="6"/>
  <c r="L106" i="6"/>
  <c r="M106" i="6"/>
  <c r="N105" i="5"/>
  <c r="O105" i="5" s="1"/>
  <c r="L105" i="5"/>
  <c r="M105" i="5" s="1"/>
  <c r="M24" i="5"/>
  <c r="N24" i="5" s="1"/>
  <c r="O24" i="5" s="1"/>
  <c r="K24" i="5"/>
  <c r="L24" i="5"/>
  <c r="N105" i="4"/>
  <c r="L105" i="4"/>
  <c r="M105" i="4" s="1"/>
  <c r="M24" i="4"/>
  <c r="N24" i="4" s="1"/>
  <c r="K24" i="4"/>
  <c r="L24" i="4"/>
  <c r="M24" i="3"/>
  <c r="N24" i="3"/>
  <c r="K24" i="3"/>
  <c r="L24" i="3"/>
  <c r="O24" i="3" s="1"/>
  <c r="N105" i="3"/>
  <c r="O105" i="3"/>
  <c r="P105" i="3"/>
  <c r="L105" i="3"/>
  <c r="M105" i="3"/>
  <c r="P38" i="17"/>
  <c r="P37" i="17"/>
  <c r="P36" i="17"/>
  <c r="P1" i="40"/>
  <c r="P83" i="40" s="1"/>
  <c r="P1" i="39"/>
  <c r="P83" i="39" s="1"/>
  <c r="P1" i="38"/>
  <c r="P83" i="38" s="1"/>
  <c r="P1" i="37"/>
  <c r="P83" i="37" s="1"/>
  <c r="P154" i="40"/>
  <c r="O154" i="40"/>
  <c r="M154" i="40"/>
  <c r="J154" i="40"/>
  <c r="P153" i="40"/>
  <c r="O153" i="40"/>
  <c r="M153" i="40"/>
  <c r="J153" i="40"/>
  <c r="P152" i="40"/>
  <c r="O152" i="40"/>
  <c r="M152" i="40"/>
  <c r="J152" i="40"/>
  <c r="P151" i="40"/>
  <c r="O151" i="40"/>
  <c r="M151" i="40"/>
  <c r="J151" i="40"/>
  <c r="P150" i="40"/>
  <c r="O150" i="40"/>
  <c r="M150" i="40"/>
  <c r="J150" i="40"/>
  <c r="P149" i="40"/>
  <c r="O149" i="40"/>
  <c r="M149" i="40"/>
  <c r="J149" i="40"/>
  <c r="P148" i="40"/>
  <c r="O148" i="40"/>
  <c r="M148" i="40"/>
  <c r="J148" i="40"/>
  <c r="P147" i="40"/>
  <c r="O147" i="40"/>
  <c r="M147" i="40"/>
  <c r="J147" i="40"/>
  <c r="P146" i="40"/>
  <c r="O146" i="40"/>
  <c r="M146" i="40"/>
  <c r="J146" i="40"/>
  <c r="P145" i="40"/>
  <c r="O145" i="40"/>
  <c r="M145" i="40"/>
  <c r="J145" i="40"/>
  <c r="P144" i="40"/>
  <c r="O144" i="40"/>
  <c r="M144" i="40"/>
  <c r="J144" i="40"/>
  <c r="P143" i="40"/>
  <c r="O143" i="40"/>
  <c r="M143" i="40"/>
  <c r="J143" i="40"/>
  <c r="P142" i="40"/>
  <c r="O142" i="40"/>
  <c r="M142" i="40"/>
  <c r="J142" i="40"/>
  <c r="P141" i="40"/>
  <c r="O141" i="40"/>
  <c r="M141" i="40"/>
  <c r="J141" i="40"/>
  <c r="P140" i="40"/>
  <c r="O140" i="40"/>
  <c r="M140" i="40"/>
  <c r="J140" i="40"/>
  <c r="P139" i="40"/>
  <c r="O139" i="40"/>
  <c r="M139" i="40"/>
  <c r="J139" i="40"/>
  <c r="P138" i="40"/>
  <c r="O138" i="40"/>
  <c r="M138" i="40"/>
  <c r="J138" i="40"/>
  <c r="P137" i="40"/>
  <c r="O137" i="40"/>
  <c r="M137" i="40"/>
  <c r="J137" i="40"/>
  <c r="P136" i="40"/>
  <c r="O136" i="40"/>
  <c r="M136" i="40"/>
  <c r="J136" i="40"/>
  <c r="P135" i="40"/>
  <c r="O135" i="40"/>
  <c r="M135" i="40"/>
  <c r="J135" i="40"/>
  <c r="P134" i="40"/>
  <c r="O134" i="40"/>
  <c r="M134" i="40"/>
  <c r="J134" i="40"/>
  <c r="P133" i="40"/>
  <c r="O133" i="40"/>
  <c r="M133" i="40"/>
  <c r="J133" i="40"/>
  <c r="P132" i="40"/>
  <c r="O132" i="40"/>
  <c r="M132" i="40"/>
  <c r="J132" i="40"/>
  <c r="P131" i="40"/>
  <c r="O131" i="40"/>
  <c r="M131" i="40"/>
  <c r="J131" i="40"/>
  <c r="O130" i="40"/>
  <c r="P130" i="40" s="1"/>
  <c r="M130" i="40"/>
  <c r="O129" i="40"/>
  <c r="M129" i="40"/>
  <c r="O128" i="40"/>
  <c r="M128" i="40"/>
  <c r="O127" i="40"/>
  <c r="P127" i="40" s="1"/>
  <c r="M127" i="40"/>
  <c r="O126" i="40"/>
  <c r="M126" i="40"/>
  <c r="O125" i="40"/>
  <c r="M125" i="40"/>
  <c r="O124" i="40"/>
  <c r="M124" i="40"/>
  <c r="O123" i="40"/>
  <c r="M123" i="40"/>
  <c r="O122" i="40"/>
  <c r="P122" i="40" s="1"/>
  <c r="M122" i="40"/>
  <c r="O121" i="40"/>
  <c r="M121" i="40"/>
  <c r="O120" i="40"/>
  <c r="M120" i="40"/>
  <c r="O119" i="40"/>
  <c r="M119" i="40"/>
  <c r="O118" i="40"/>
  <c r="P118" i="40" s="1"/>
  <c r="M118" i="40"/>
  <c r="O117" i="40"/>
  <c r="M117" i="40"/>
  <c r="O116" i="40"/>
  <c r="M116" i="40"/>
  <c r="O115" i="40"/>
  <c r="M115" i="40"/>
  <c r="O114" i="40"/>
  <c r="P114" i="40" s="1"/>
  <c r="M114" i="40"/>
  <c r="O113" i="40"/>
  <c r="M113" i="40"/>
  <c r="O112" i="40"/>
  <c r="M112" i="40"/>
  <c r="O111" i="40"/>
  <c r="M111" i="40"/>
  <c r="O110" i="40"/>
  <c r="M110" i="40"/>
  <c r="O109" i="40"/>
  <c r="M109" i="40"/>
  <c r="O108" i="40"/>
  <c r="M108" i="40"/>
  <c r="O107" i="40"/>
  <c r="P107" i="40" s="1"/>
  <c r="M107" i="40"/>
  <c r="O106" i="40"/>
  <c r="M106" i="40"/>
  <c r="O105" i="40"/>
  <c r="M105" i="40"/>
  <c r="O104" i="40"/>
  <c r="M104" i="40"/>
  <c r="O103" i="40"/>
  <c r="P103" i="40" s="1"/>
  <c r="M103" i="40"/>
  <c r="O102" i="40"/>
  <c r="M102" i="40"/>
  <c r="O101" i="40"/>
  <c r="P101" i="40" s="1"/>
  <c r="M101" i="40"/>
  <c r="O100" i="40"/>
  <c r="M100" i="40"/>
  <c r="O99" i="40"/>
  <c r="M99" i="40"/>
  <c r="D96" i="40"/>
  <c r="L93" i="40"/>
  <c r="J93" i="40"/>
  <c r="D91" i="40"/>
  <c r="D89" i="40"/>
  <c r="N72" i="40"/>
  <c r="O72" i="40" s="1"/>
  <c r="L72" i="40"/>
  <c r="N71" i="40"/>
  <c r="L71" i="40"/>
  <c r="N70" i="40"/>
  <c r="L70" i="40"/>
  <c r="N69" i="40"/>
  <c r="L69" i="40"/>
  <c r="N68" i="40"/>
  <c r="O68" i="40" s="1"/>
  <c r="L68" i="40"/>
  <c r="N67" i="40"/>
  <c r="L67" i="40"/>
  <c r="N66" i="40"/>
  <c r="L66" i="40"/>
  <c r="N65" i="40"/>
  <c r="L65" i="40"/>
  <c r="N64" i="40"/>
  <c r="O64" i="40"/>
  <c r="L64" i="40"/>
  <c r="N63" i="40"/>
  <c r="L63" i="40"/>
  <c r="N62" i="40"/>
  <c r="O62" i="40"/>
  <c r="L62" i="40"/>
  <c r="N61" i="40"/>
  <c r="L61" i="40"/>
  <c r="N60" i="40"/>
  <c r="L60" i="40"/>
  <c r="N59" i="40"/>
  <c r="L59" i="40"/>
  <c r="N58" i="40"/>
  <c r="L58" i="40"/>
  <c r="N57" i="40"/>
  <c r="L57" i="40"/>
  <c r="N56" i="40"/>
  <c r="L56" i="40"/>
  <c r="N55" i="40"/>
  <c r="L55" i="40"/>
  <c r="N54" i="40"/>
  <c r="L54" i="40"/>
  <c r="N53" i="40"/>
  <c r="L53" i="40"/>
  <c r="N52" i="40"/>
  <c r="L52" i="40"/>
  <c r="N51" i="40"/>
  <c r="L51" i="40"/>
  <c r="N50" i="40"/>
  <c r="L50" i="40"/>
  <c r="N49" i="40"/>
  <c r="L49" i="40"/>
  <c r="N48" i="40"/>
  <c r="L48" i="40"/>
  <c r="N47" i="40"/>
  <c r="L47" i="40"/>
  <c r="N46" i="40"/>
  <c r="O46" i="40" s="1"/>
  <c r="L46" i="40"/>
  <c r="N45" i="40"/>
  <c r="L45" i="40"/>
  <c r="N44" i="40"/>
  <c r="L44" i="40"/>
  <c r="N43" i="40"/>
  <c r="O43" i="40"/>
  <c r="L43" i="40"/>
  <c r="N42" i="40"/>
  <c r="L42" i="40"/>
  <c r="N41" i="40"/>
  <c r="O41" i="40"/>
  <c r="L41" i="40"/>
  <c r="N40" i="40"/>
  <c r="L40" i="40"/>
  <c r="N39" i="40"/>
  <c r="O39" i="40" s="1"/>
  <c r="L39" i="40"/>
  <c r="N38" i="40"/>
  <c r="L38" i="40"/>
  <c r="N37" i="40"/>
  <c r="L37" i="40"/>
  <c r="N36" i="40"/>
  <c r="L36" i="40"/>
  <c r="N35" i="40"/>
  <c r="L35" i="40"/>
  <c r="N34" i="40"/>
  <c r="L34" i="40"/>
  <c r="N33" i="40"/>
  <c r="L33" i="40"/>
  <c r="O33" i="40"/>
  <c r="N32" i="40"/>
  <c r="L32" i="40"/>
  <c r="N31" i="40"/>
  <c r="L31" i="40"/>
  <c r="N30" i="40"/>
  <c r="O30" i="40" s="1"/>
  <c r="L30" i="40"/>
  <c r="N29" i="40"/>
  <c r="L29" i="40"/>
  <c r="N28" i="40"/>
  <c r="L28" i="40"/>
  <c r="N27" i="40"/>
  <c r="L27" i="40"/>
  <c r="N26" i="40"/>
  <c r="L26" i="40"/>
  <c r="N25" i="40"/>
  <c r="O25" i="40" s="1"/>
  <c r="L25" i="40"/>
  <c r="N24" i="40"/>
  <c r="L24" i="40"/>
  <c r="N23" i="40"/>
  <c r="L23" i="40"/>
  <c r="N22" i="40"/>
  <c r="O22" i="40" s="1"/>
  <c r="L22" i="40"/>
  <c r="N21" i="40"/>
  <c r="L21" i="40"/>
  <c r="N20" i="40"/>
  <c r="L20" i="40"/>
  <c r="N19" i="40"/>
  <c r="L19" i="40"/>
  <c r="N18" i="40"/>
  <c r="L18" i="40"/>
  <c r="L17" i="40"/>
  <c r="C17" i="40"/>
  <c r="C18" i="40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C45" i="40" s="1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K11" i="40"/>
  <c r="I11" i="40"/>
  <c r="D8" i="40"/>
  <c r="D90" i="40"/>
  <c r="P154" i="39"/>
  <c r="O154" i="39"/>
  <c r="M154" i="39"/>
  <c r="J154" i="39"/>
  <c r="P153" i="39"/>
  <c r="O153" i="39"/>
  <c r="M153" i="39"/>
  <c r="J153" i="39"/>
  <c r="P152" i="39"/>
  <c r="O152" i="39"/>
  <c r="M152" i="39"/>
  <c r="J152" i="39"/>
  <c r="P151" i="39"/>
  <c r="O151" i="39"/>
  <c r="M151" i="39"/>
  <c r="J151" i="39"/>
  <c r="P150" i="39"/>
  <c r="O150" i="39"/>
  <c r="M150" i="39"/>
  <c r="J150" i="39"/>
  <c r="P149" i="39"/>
  <c r="O149" i="39"/>
  <c r="M149" i="39"/>
  <c r="J149" i="39"/>
  <c r="P148" i="39"/>
  <c r="O148" i="39"/>
  <c r="M148" i="39"/>
  <c r="J148" i="39"/>
  <c r="P147" i="39"/>
  <c r="O147" i="39"/>
  <c r="M147" i="39"/>
  <c r="J147" i="39"/>
  <c r="P146" i="39"/>
  <c r="O146" i="39"/>
  <c r="M146" i="39"/>
  <c r="J146" i="39"/>
  <c r="P145" i="39"/>
  <c r="O145" i="39"/>
  <c r="M145" i="39"/>
  <c r="J145" i="39"/>
  <c r="P144" i="39"/>
  <c r="O144" i="39"/>
  <c r="M144" i="39"/>
  <c r="J144" i="39"/>
  <c r="P143" i="39"/>
  <c r="O143" i="39"/>
  <c r="M143" i="39"/>
  <c r="J143" i="39"/>
  <c r="P142" i="39"/>
  <c r="O142" i="39"/>
  <c r="M142" i="39"/>
  <c r="J142" i="39"/>
  <c r="P141" i="39"/>
  <c r="O141" i="39"/>
  <c r="M141" i="39"/>
  <c r="J141" i="39"/>
  <c r="P140" i="39"/>
  <c r="O140" i="39"/>
  <c r="M140" i="39"/>
  <c r="J140" i="39"/>
  <c r="P139" i="39"/>
  <c r="O139" i="39"/>
  <c r="M139" i="39"/>
  <c r="J139" i="39"/>
  <c r="P138" i="39"/>
  <c r="O138" i="39"/>
  <c r="M138" i="39"/>
  <c r="J138" i="39"/>
  <c r="P137" i="39"/>
  <c r="O137" i="39"/>
  <c r="M137" i="39"/>
  <c r="J137" i="39"/>
  <c r="P136" i="39"/>
  <c r="O136" i="39"/>
  <c r="M136" i="39"/>
  <c r="J136" i="39"/>
  <c r="P135" i="39"/>
  <c r="O135" i="39"/>
  <c r="M135" i="39"/>
  <c r="J135" i="39"/>
  <c r="P134" i="39"/>
  <c r="O134" i="39"/>
  <c r="M134" i="39"/>
  <c r="J134" i="39"/>
  <c r="P133" i="39"/>
  <c r="O133" i="39"/>
  <c r="M133" i="39"/>
  <c r="J133" i="39"/>
  <c r="P132" i="39"/>
  <c r="O132" i="39"/>
  <c r="M132" i="39"/>
  <c r="J132" i="39"/>
  <c r="P131" i="39"/>
  <c r="O131" i="39"/>
  <c r="M131" i="39"/>
  <c r="J131" i="39"/>
  <c r="O130" i="39"/>
  <c r="M130" i="39"/>
  <c r="O129" i="39"/>
  <c r="M129" i="39"/>
  <c r="O128" i="39"/>
  <c r="P128" i="39" s="1"/>
  <c r="M128" i="39"/>
  <c r="O127" i="39"/>
  <c r="P127" i="39" s="1"/>
  <c r="M127" i="39"/>
  <c r="O126" i="39"/>
  <c r="M126" i="39"/>
  <c r="O125" i="39"/>
  <c r="M125" i="39"/>
  <c r="O124" i="39"/>
  <c r="M124" i="39"/>
  <c r="O123" i="39"/>
  <c r="P123" i="39" s="1"/>
  <c r="M123" i="39"/>
  <c r="O122" i="39"/>
  <c r="M122" i="39"/>
  <c r="O121" i="39"/>
  <c r="M121" i="39"/>
  <c r="O120" i="39"/>
  <c r="M120" i="39"/>
  <c r="O119" i="39"/>
  <c r="M119" i="39"/>
  <c r="O118" i="39"/>
  <c r="M118" i="39"/>
  <c r="O117" i="39"/>
  <c r="M117" i="39"/>
  <c r="O116" i="39"/>
  <c r="M116" i="39"/>
  <c r="O115" i="39"/>
  <c r="P115" i="39" s="1"/>
  <c r="M115" i="39"/>
  <c r="O114" i="39"/>
  <c r="M114" i="39"/>
  <c r="O113" i="39"/>
  <c r="M113" i="39"/>
  <c r="O112" i="39"/>
  <c r="M112" i="39"/>
  <c r="O111" i="39"/>
  <c r="M111" i="39"/>
  <c r="O110" i="39"/>
  <c r="M110" i="39"/>
  <c r="O109" i="39"/>
  <c r="M109" i="39"/>
  <c r="O108" i="39"/>
  <c r="M108" i="39"/>
  <c r="P108" i="39" s="1"/>
  <c r="O107" i="39"/>
  <c r="M107" i="39"/>
  <c r="O106" i="39"/>
  <c r="M106" i="39"/>
  <c r="P106" i="39" s="1"/>
  <c r="O105" i="39"/>
  <c r="M105" i="39"/>
  <c r="O104" i="39"/>
  <c r="M104" i="39"/>
  <c r="O103" i="39"/>
  <c r="M103" i="39"/>
  <c r="O102" i="39"/>
  <c r="M102" i="39"/>
  <c r="O101" i="39"/>
  <c r="M101" i="39"/>
  <c r="O100" i="39"/>
  <c r="M100" i="39"/>
  <c r="P100" i="39" s="1"/>
  <c r="O99" i="39"/>
  <c r="M99" i="39"/>
  <c r="D96" i="39"/>
  <c r="L93" i="39"/>
  <c r="J93" i="39"/>
  <c r="D91" i="39"/>
  <c r="D89" i="39"/>
  <c r="N72" i="39"/>
  <c r="L72" i="39"/>
  <c r="O72" i="39" s="1"/>
  <c r="N71" i="39"/>
  <c r="L71" i="39"/>
  <c r="N70" i="39"/>
  <c r="L70" i="39"/>
  <c r="N69" i="39"/>
  <c r="O69" i="39" s="1"/>
  <c r="L69" i="39"/>
  <c r="N68" i="39"/>
  <c r="L68" i="39"/>
  <c r="N67" i="39"/>
  <c r="O67" i="39" s="1"/>
  <c r="L67" i="39"/>
  <c r="N66" i="39"/>
  <c r="L66" i="39"/>
  <c r="N65" i="39"/>
  <c r="L65" i="39"/>
  <c r="N64" i="39"/>
  <c r="L64" i="39"/>
  <c r="N63" i="39"/>
  <c r="L63" i="39"/>
  <c r="N62" i="39"/>
  <c r="L62" i="39"/>
  <c r="N61" i="39"/>
  <c r="O61" i="39" s="1"/>
  <c r="L61" i="39"/>
  <c r="N60" i="39"/>
  <c r="L60" i="39"/>
  <c r="N59" i="39"/>
  <c r="L59" i="39"/>
  <c r="N58" i="39"/>
  <c r="L58" i="39"/>
  <c r="N57" i="39"/>
  <c r="L57" i="39"/>
  <c r="N56" i="39"/>
  <c r="L56" i="39"/>
  <c r="N55" i="39"/>
  <c r="O55" i="39" s="1"/>
  <c r="L55" i="39"/>
  <c r="N54" i="39"/>
  <c r="L54" i="39"/>
  <c r="N53" i="39"/>
  <c r="O53" i="39" s="1"/>
  <c r="L53" i="39"/>
  <c r="N52" i="39"/>
  <c r="L52" i="39"/>
  <c r="N51" i="39"/>
  <c r="O51" i="39"/>
  <c r="L51" i="39"/>
  <c r="N50" i="39"/>
  <c r="L50" i="39"/>
  <c r="N49" i="39"/>
  <c r="O49" i="39" s="1"/>
  <c r="L49" i="39"/>
  <c r="N48" i="39"/>
  <c r="O48" i="39"/>
  <c r="L48" i="39"/>
  <c r="N47" i="39"/>
  <c r="L47" i="39"/>
  <c r="N46" i="39"/>
  <c r="L46" i="39"/>
  <c r="N45" i="39"/>
  <c r="L45" i="39"/>
  <c r="N44" i="39"/>
  <c r="O44" i="39" s="1"/>
  <c r="L44" i="39"/>
  <c r="N43" i="39"/>
  <c r="L43" i="39"/>
  <c r="N42" i="39"/>
  <c r="L42" i="39"/>
  <c r="N41" i="39"/>
  <c r="L41" i="39"/>
  <c r="N40" i="39"/>
  <c r="L40" i="39"/>
  <c r="N39" i="39"/>
  <c r="L39" i="39"/>
  <c r="N38" i="39"/>
  <c r="L38" i="39"/>
  <c r="N37" i="39"/>
  <c r="L37" i="39"/>
  <c r="N36" i="39"/>
  <c r="O36" i="39" s="1"/>
  <c r="L36" i="39"/>
  <c r="N35" i="39"/>
  <c r="L35" i="39"/>
  <c r="N34" i="39"/>
  <c r="O34" i="39" s="1"/>
  <c r="L34" i="39"/>
  <c r="N33" i="39"/>
  <c r="L33" i="39"/>
  <c r="N32" i="39"/>
  <c r="O32" i="39" s="1"/>
  <c r="L32" i="39"/>
  <c r="N31" i="39"/>
  <c r="L31" i="39"/>
  <c r="N30" i="39"/>
  <c r="L30" i="39"/>
  <c r="N29" i="39"/>
  <c r="L29" i="39"/>
  <c r="N28" i="39"/>
  <c r="L28" i="39"/>
  <c r="N27" i="39"/>
  <c r="O27" i="39" s="1"/>
  <c r="L27" i="39"/>
  <c r="N26" i="39"/>
  <c r="L26" i="39"/>
  <c r="N25" i="39"/>
  <c r="L25" i="39"/>
  <c r="O25" i="39"/>
  <c r="N24" i="39"/>
  <c r="O24" i="39" s="1"/>
  <c r="L24" i="39"/>
  <c r="N23" i="39"/>
  <c r="L23" i="39"/>
  <c r="N22" i="39"/>
  <c r="L22" i="39"/>
  <c r="N21" i="39"/>
  <c r="L21" i="39"/>
  <c r="N20" i="39"/>
  <c r="L20" i="39"/>
  <c r="N19" i="39"/>
  <c r="L19" i="39"/>
  <c r="N17" i="39"/>
  <c r="L17" i="39"/>
  <c r="C17" i="39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K11" i="39"/>
  <c r="I11" i="39"/>
  <c r="D8" i="39"/>
  <c r="D90" i="39"/>
  <c r="P154" i="38"/>
  <c r="O154" i="38"/>
  <c r="M154" i="38"/>
  <c r="J154" i="38"/>
  <c r="P153" i="38"/>
  <c r="O153" i="38"/>
  <c r="M153" i="38"/>
  <c r="J153" i="38"/>
  <c r="P152" i="38"/>
  <c r="O152" i="38"/>
  <c r="M152" i="38"/>
  <c r="J152" i="38"/>
  <c r="P151" i="38"/>
  <c r="O151" i="38"/>
  <c r="M151" i="38"/>
  <c r="J151" i="38"/>
  <c r="P150" i="38"/>
  <c r="O150" i="38"/>
  <c r="M150" i="38"/>
  <c r="J150" i="38"/>
  <c r="P149" i="38"/>
  <c r="O149" i="38"/>
  <c r="M149" i="38"/>
  <c r="J149" i="38"/>
  <c r="P148" i="38"/>
  <c r="O148" i="38"/>
  <c r="M148" i="38"/>
  <c r="J148" i="38"/>
  <c r="P147" i="38"/>
  <c r="O147" i="38"/>
  <c r="M147" i="38"/>
  <c r="J147" i="38"/>
  <c r="P146" i="38"/>
  <c r="O146" i="38"/>
  <c r="M146" i="38"/>
  <c r="J146" i="38"/>
  <c r="P145" i="38"/>
  <c r="O145" i="38"/>
  <c r="M145" i="38"/>
  <c r="J145" i="38"/>
  <c r="P144" i="38"/>
  <c r="O144" i="38"/>
  <c r="M144" i="38"/>
  <c r="J144" i="38"/>
  <c r="P143" i="38"/>
  <c r="O143" i="38"/>
  <c r="M143" i="38"/>
  <c r="J143" i="38"/>
  <c r="P142" i="38"/>
  <c r="O142" i="38"/>
  <c r="M142" i="38"/>
  <c r="J142" i="38"/>
  <c r="P141" i="38"/>
  <c r="O141" i="38"/>
  <c r="M141" i="38"/>
  <c r="J141" i="38"/>
  <c r="P140" i="38"/>
  <c r="O140" i="38"/>
  <c r="M140" i="38"/>
  <c r="J140" i="38"/>
  <c r="P139" i="38"/>
  <c r="O139" i="38"/>
  <c r="M139" i="38"/>
  <c r="J139" i="38"/>
  <c r="P138" i="38"/>
  <c r="O138" i="38"/>
  <c r="M138" i="38"/>
  <c r="J138" i="38"/>
  <c r="P137" i="38"/>
  <c r="O137" i="38"/>
  <c r="M137" i="38"/>
  <c r="J137" i="38"/>
  <c r="P136" i="38"/>
  <c r="O136" i="38"/>
  <c r="M136" i="38"/>
  <c r="J136" i="38"/>
  <c r="P135" i="38"/>
  <c r="O135" i="38"/>
  <c r="M135" i="38"/>
  <c r="J135" i="38"/>
  <c r="P134" i="38"/>
  <c r="O134" i="38"/>
  <c r="M134" i="38"/>
  <c r="J134" i="38"/>
  <c r="P133" i="38"/>
  <c r="O133" i="38"/>
  <c r="M133" i="38"/>
  <c r="J133" i="38"/>
  <c r="P132" i="38"/>
  <c r="O132" i="38"/>
  <c r="M132" i="38"/>
  <c r="J132" i="38"/>
  <c r="P131" i="38"/>
  <c r="O131" i="38"/>
  <c r="M131" i="38"/>
  <c r="J131" i="38"/>
  <c r="O130" i="38"/>
  <c r="M130" i="38"/>
  <c r="O129" i="38"/>
  <c r="M129" i="38"/>
  <c r="O128" i="38"/>
  <c r="M128" i="38"/>
  <c r="O127" i="38"/>
  <c r="M127" i="38"/>
  <c r="O126" i="38"/>
  <c r="M126" i="38"/>
  <c r="O125" i="38"/>
  <c r="M125" i="38"/>
  <c r="O124" i="38"/>
  <c r="M124" i="38"/>
  <c r="O123" i="38"/>
  <c r="M123" i="38"/>
  <c r="O122" i="38"/>
  <c r="M122" i="38"/>
  <c r="O121" i="38"/>
  <c r="M121" i="38"/>
  <c r="O120" i="38"/>
  <c r="M120" i="38"/>
  <c r="O119" i="38"/>
  <c r="M119" i="38"/>
  <c r="O118" i="38"/>
  <c r="P118" i="38" s="1"/>
  <c r="M118" i="38"/>
  <c r="O117" i="38"/>
  <c r="M117" i="38"/>
  <c r="O116" i="38"/>
  <c r="M116" i="38"/>
  <c r="O115" i="38"/>
  <c r="M115" i="38"/>
  <c r="O114" i="38"/>
  <c r="M114" i="38"/>
  <c r="O113" i="38"/>
  <c r="M113" i="38"/>
  <c r="O112" i="38"/>
  <c r="M112" i="38"/>
  <c r="O111" i="38"/>
  <c r="M111" i="38"/>
  <c r="O110" i="38"/>
  <c r="M110" i="38"/>
  <c r="O109" i="38"/>
  <c r="M109" i="38"/>
  <c r="O108" i="38"/>
  <c r="M108" i="38"/>
  <c r="O107" i="38"/>
  <c r="M107" i="38"/>
  <c r="O106" i="38"/>
  <c r="M106" i="38"/>
  <c r="O105" i="38"/>
  <c r="M105" i="38"/>
  <c r="O104" i="38"/>
  <c r="M104" i="38"/>
  <c r="O103" i="38"/>
  <c r="M103" i="38"/>
  <c r="O102" i="38"/>
  <c r="M102" i="38"/>
  <c r="O101" i="38"/>
  <c r="M101" i="38"/>
  <c r="O100" i="38"/>
  <c r="M100" i="38"/>
  <c r="O99" i="38"/>
  <c r="M99" i="38"/>
  <c r="D96" i="38"/>
  <c r="L93" i="38"/>
  <c r="J93" i="38"/>
  <c r="D91" i="38"/>
  <c r="D89" i="38"/>
  <c r="N72" i="38"/>
  <c r="O72" i="38" s="1"/>
  <c r="L72" i="38"/>
  <c r="N71" i="38"/>
  <c r="L71" i="38"/>
  <c r="N70" i="38"/>
  <c r="O70" i="38"/>
  <c r="L70" i="38"/>
  <c r="N69" i="38"/>
  <c r="L69" i="38"/>
  <c r="N68" i="38"/>
  <c r="L68" i="38"/>
  <c r="N67" i="38"/>
  <c r="L67" i="38"/>
  <c r="N66" i="38"/>
  <c r="O66" i="38" s="1"/>
  <c r="L66" i="38"/>
  <c r="N65" i="38"/>
  <c r="L65" i="38"/>
  <c r="N64" i="38"/>
  <c r="O64" i="38" s="1"/>
  <c r="L64" i="38"/>
  <c r="N63" i="38"/>
  <c r="L63" i="38"/>
  <c r="N62" i="38"/>
  <c r="L62" i="38"/>
  <c r="N61" i="38"/>
  <c r="L61" i="38"/>
  <c r="N60" i="38"/>
  <c r="L60" i="38"/>
  <c r="N59" i="38"/>
  <c r="L59" i="38"/>
  <c r="N58" i="38"/>
  <c r="L58" i="38"/>
  <c r="N57" i="38"/>
  <c r="L57" i="38"/>
  <c r="N56" i="38"/>
  <c r="L56" i="38"/>
  <c r="N55" i="38"/>
  <c r="O55" i="38" s="1"/>
  <c r="L55" i="38"/>
  <c r="N54" i="38"/>
  <c r="L54" i="38"/>
  <c r="N53" i="38"/>
  <c r="L53" i="38"/>
  <c r="N52" i="38"/>
  <c r="L52" i="38"/>
  <c r="N51" i="38"/>
  <c r="O51" i="38" s="1"/>
  <c r="L51" i="38"/>
  <c r="N50" i="38"/>
  <c r="L50" i="38"/>
  <c r="N49" i="38"/>
  <c r="L49" i="38"/>
  <c r="N48" i="38"/>
  <c r="L48" i="38"/>
  <c r="N47" i="38"/>
  <c r="L47" i="38"/>
  <c r="N46" i="38"/>
  <c r="L46" i="38"/>
  <c r="N45" i="38"/>
  <c r="O45" i="38"/>
  <c r="L45" i="38"/>
  <c r="N44" i="38"/>
  <c r="L44" i="38"/>
  <c r="N43" i="38"/>
  <c r="O43" i="38" s="1"/>
  <c r="L43" i="38"/>
  <c r="N42" i="38"/>
  <c r="L42" i="38"/>
  <c r="N41" i="38"/>
  <c r="L41" i="38"/>
  <c r="N40" i="38"/>
  <c r="L40" i="38"/>
  <c r="N39" i="38"/>
  <c r="L39" i="38"/>
  <c r="N38" i="38"/>
  <c r="L38" i="38"/>
  <c r="N37" i="38"/>
  <c r="L37" i="38"/>
  <c r="N36" i="38"/>
  <c r="L36" i="38"/>
  <c r="N35" i="38"/>
  <c r="L35" i="38"/>
  <c r="O35" i="38" s="1"/>
  <c r="N34" i="38"/>
  <c r="O34" i="38" s="1"/>
  <c r="L34" i="38"/>
  <c r="N33" i="38"/>
  <c r="L33" i="38"/>
  <c r="N32" i="38"/>
  <c r="L32" i="38"/>
  <c r="N31" i="38"/>
  <c r="O31" i="38"/>
  <c r="L31" i="38"/>
  <c r="N30" i="38"/>
  <c r="L30" i="38"/>
  <c r="N29" i="38"/>
  <c r="L29" i="38"/>
  <c r="N28" i="38"/>
  <c r="L28" i="38"/>
  <c r="N27" i="38"/>
  <c r="L27" i="38"/>
  <c r="N26" i="38"/>
  <c r="L26" i="38"/>
  <c r="N25" i="38"/>
  <c r="O25" i="38" s="1"/>
  <c r="L25" i="38"/>
  <c r="N24" i="38"/>
  <c r="L24" i="38"/>
  <c r="N23" i="38"/>
  <c r="L23" i="38"/>
  <c r="N22" i="38"/>
  <c r="L22" i="38"/>
  <c r="N21" i="38"/>
  <c r="L21" i="38"/>
  <c r="N20" i="38"/>
  <c r="L20" i="38"/>
  <c r="N19" i="38"/>
  <c r="O19" i="38" s="1"/>
  <c r="L19" i="38"/>
  <c r="N17" i="38"/>
  <c r="L17" i="38"/>
  <c r="C18" i="38"/>
  <c r="C19" i="38" s="1"/>
  <c r="C20" i="38"/>
  <c r="C21" i="38" s="1"/>
  <c r="C22" i="38" s="1"/>
  <c r="C23" i="38" s="1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C45" i="38" s="1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K11" i="38"/>
  <c r="I11" i="38"/>
  <c r="D8" i="38"/>
  <c r="D90" i="38" s="1"/>
  <c r="W38" i="17"/>
  <c r="W37" i="17"/>
  <c r="W36" i="17"/>
  <c r="W35" i="17"/>
  <c r="P35" i="17"/>
  <c r="P154" i="37"/>
  <c r="O154" i="37"/>
  <c r="M154" i="37"/>
  <c r="J154" i="37"/>
  <c r="P153" i="37"/>
  <c r="O153" i="37"/>
  <c r="M153" i="37"/>
  <c r="J153" i="37"/>
  <c r="P152" i="37"/>
  <c r="O152" i="37"/>
  <c r="M152" i="37"/>
  <c r="J152" i="37"/>
  <c r="P151" i="37"/>
  <c r="O151" i="37"/>
  <c r="M151" i="37"/>
  <c r="J151" i="37"/>
  <c r="P150" i="37"/>
  <c r="O150" i="37"/>
  <c r="M150" i="37"/>
  <c r="J150" i="37"/>
  <c r="P149" i="37"/>
  <c r="O149" i="37"/>
  <c r="M149" i="37"/>
  <c r="J149" i="37"/>
  <c r="P148" i="37"/>
  <c r="O148" i="37"/>
  <c r="M148" i="37"/>
  <c r="J148" i="37"/>
  <c r="P147" i="37"/>
  <c r="O147" i="37"/>
  <c r="M147" i="37"/>
  <c r="J147" i="37"/>
  <c r="P146" i="37"/>
  <c r="O146" i="37"/>
  <c r="M146" i="37"/>
  <c r="J146" i="37"/>
  <c r="P145" i="37"/>
  <c r="O145" i="37"/>
  <c r="M145" i="37"/>
  <c r="J145" i="37"/>
  <c r="P144" i="37"/>
  <c r="O144" i="37"/>
  <c r="M144" i="37"/>
  <c r="J144" i="37"/>
  <c r="P143" i="37"/>
  <c r="O143" i="37"/>
  <c r="M143" i="37"/>
  <c r="J143" i="37"/>
  <c r="P142" i="37"/>
  <c r="O142" i="37"/>
  <c r="M142" i="37"/>
  <c r="J142" i="37"/>
  <c r="P141" i="37"/>
  <c r="O141" i="37"/>
  <c r="M141" i="37"/>
  <c r="J141" i="37"/>
  <c r="P140" i="37"/>
  <c r="O140" i="37"/>
  <c r="M140" i="37"/>
  <c r="J140" i="37"/>
  <c r="P139" i="37"/>
  <c r="O139" i="37"/>
  <c r="M139" i="37"/>
  <c r="J139" i="37"/>
  <c r="P138" i="37"/>
  <c r="O138" i="37"/>
  <c r="M138" i="37"/>
  <c r="J138" i="37"/>
  <c r="P137" i="37"/>
  <c r="O137" i="37"/>
  <c r="M137" i="37"/>
  <c r="J137" i="37"/>
  <c r="P136" i="37"/>
  <c r="O136" i="37"/>
  <c r="M136" i="37"/>
  <c r="J136" i="37"/>
  <c r="P135" i="37"/>
  <c r="O135" i="37"/>
  <c r="M135" i="37"/>
  <c r="J135" i="37"/>
  <c r="P134" i="37"/>
  <c r="O134" i="37"/>
  <c r="M134" i="37"/>
  <c r="J134" i="37"/>
  <c r="P133" i="37"/>
  <c r="O133" i="37"/>
  <c r="M133" i="37"/>
  <c r="J133" i="37"/>
  <c r="P132" i="37"/>
  <c r="O132" i="37"/>
  <c r="M132" i="37"/>
  <c r="J132" i="37"/>
  <c r="P131" i="37"/>
  <c r="O131" i="37"/>
  <c r="M131" i="37"/>
  <c r="J131" i="37"/>
  <c r="O130" i="37"/>
  <c r="M130" i="37"/>
  <c r="O129" i="37"/>
  <c r="M129" i="37"/>
  <c r="O128" i="37"/>
  <c r="M128" i="37"/>
  <c r="O127" i="37"/>
  <c r="M127" i="37"/>
  <c r="O126" i="37"/>
  <c r="M126" i="37"/>
  <c r="O125" i="37"/>
  <c r="M125" i="37"/>
  <c r="O124" i="37"/>
  <c r="M124" i="37"/>
  <c r="O123" i="37"/>
  <c r="M123" i="37"/>
  <c r="O122" i="37"/>
  <c r="M122" i="37"/>
  <c r="O121" i="37"/>
  <c r="M121" i="37"/>
  <c r="O120" i="37"/>
  <c r="M120" i="37"/>
  <c r="O119" i="37"/>
  <c r="P119" i="37" s="1"/>
  <c r="M119" i="37"/>
  <c r="O118" i="37"/>
  <c r="M118" i="37"/>
  <c r="O117" i="37"/>
  <c r="M117" i="37"/>
  <c r="O116" i="37"/>
  <c r="M116" i="37"/>
  <c r="O115" i="37"/>
  <c r="M115" i="37"/>
  <c r="O114" i="37"/>
  <c r="M114" i="37"/>
  <c r="O113" i="37"/>
  <c r="M113" i="37"/>
  <c r="O112" i="37"/>
  <c r="M112" i="37"/>
  <c r="O111" i="37"/>
  <c r="M111" i="37"/>
  <c r="O110" i="37"/>
  <c r="M110" i="37"/>
  <c r="O109" i="37"/>
  <c r="M109" i="37"/>
  <c r="O108" i="37"/>
  <c r="M108" i="37"/>
  <c r="O107" i="37"/>
  <c r="M107" i="37"/>
  <c r="O106" i="37"/>
  <c r="M106" i="37"/>
  <c r="O105" i="37"/>
  <c r="M105" i="37"/>
  <c r="O104" i="37"/>
  <c r="M104" i="37"/>
  <c r="O103" i="37"/>
  <c r="M103" i="37"/>
  <c r="O102" i="37"/>
  <c r="M102" i="37"/>
  <c r="O101" i="37"/>
  <c r="P101" i="37" s="1"/>
  <c r="M101" i="37"/>
  <c r="O100" i="37"/>
  <c r="M100" i="37"/>
  <c r="O99" i="37"/>
  <c r="P99" i="37" s="1"/>
  <c r="M99" i="37"/>
  <c r="D96" i="37"/>
  <c r="L93" i="37"/>
  <c r="J93" i="37"/>
  <c r="D91" i="37"/>
  <c r="D89" i="37"/>
  <c r="N72" i="37"/>
  <c r="O72" i="37" s="1"/>
  <c r="L72" i="37"/>
  <c r="N71" i="37"/>
  <c r="L71" i="37"/>
  <c r="N70" i="37"/>
  <c r="L70" i="37"/>
  <c r="N69" i="37"/>
  <c r="L69" i="37"/>
  <c r="N68" i="37"/>
  <c r="L68" i="37"/>
  <c r="N67" i="37"/>
  <c r="L67" i="37"/>
  <c r="N66" i="37"/>
  <c r="L66" i="37"/>
  <c r="N65" i="37"/>
  <c r="O65" i="37" s="1"/>
  <c r="L65" i="37"/>
  <c r="N64" i="37"/>
  <c r="L64" i="37"/>
  <c r="N63" i="37"/>
  <c r="L63" i="37"/>
  <c r="O63" i="37"/>
  <c r="N62" i="37"/>
  <c r="L62" i="37"/>
  <c r="N61" i="37"/>
  <c r="L61" i="37"/>
  <c r="O61" i="37" s="1"/>
  <c r="N60" i="37"/>
  <c r="O60" i="37" s="1"/>
  <c r="L60" i="37"/>
  <c r="N59" i="37"/>
  <c r="L59" i="37"/>
  <c r="N58" i="37"/>
  <c r="O58" i="37" s="1"/>
  <c r="L58" i="37"/>
  <c r="N57" i="37"/>
  <c r="L57" i="37"/>
  <c r="N56" i="37"/>
  <c r="L56" i="37"/>
  <c r="N55" i="37"/>
  <c r="L55" i="37"/>
  <c r="N54" i="37"/>
  <c r="L54" i="37"/>
  <c r="N53" i="37"/>
  <c r="O53" i="37" s="1"/>
  <c r="L53" i="37"/>
  <c r="N52" i="37"/>
  <c r="L52" i="37"/>
  <c r="N51" i="37"/>
  <c r="O51" i="37" s="1"/>
  <c r="L51" i="37"/>
  <c r="N50" i="37"/>
  <c r="O50" i="37" s="1"/>
  <c r="L50" i="37"/>
  <c r="N49" i="37"/>
  <c r="L49" i="37"/>
  <c r="N48" i="37"/>
  <c r="L48" i="37"/>
  <c r="N47" i="37"/>
  <c r="L47" i="37"/>
  <c r="N46" i="37"/>
  <c r="L46" i="37"/>
  <c r="O46" i="37" s="1"/>
  <c r="N45" i="37"/>
  <c r="L45" i="37"/>
  <c r="N44" i="37"/>
  <c r="O44" i="37" s="1"/>
  <c r="L44" i="37"/>
  <c r="N43" i="37"/>
  <c r="L43" i="37"/>
  <c r="N42" i="37"/>
  <c r="L42" i="37"/>
  <c r="N41" i="37"/>
  <c r="L41" i="37"/>
  <c r="N40" i="37"/>
  <c r="L40" i="37"/>
  <c r="N39" i="37"/>
  <c r="L39" i="37"/>
  <c r="N38" i="37"/>
  <c r="L38" i="37"/>
  <c r="N37" i="37"/>
  <c r="L37" i="37"/>
  <c r="N36" i="37"/>
  <c r="O36" i="37" s="1"/>
  <c r="L36" i="37"/>
  <c r="N35" i="37"/>
  <c r="L35" i="37"/>
  <c r="N34" i="37"/>
  <c r="L34" i="37"/>
  <c r="N33" i="37"/>
  <c r="L33" i="37"/>
  <c r="N32" i="37"/>
  <c r="L32" i="37"/>
  <c r="O32" i="37"/>
  <c r="N31" i="37"/>
  <c r="O31" i="37" s="1"/>
  <c r="L31" i="37"/>
  <c r="N30" i="37"/>
  <c r="O30" i="37" s="1"/>
  <c r="L30" i="37"/>
  <c r="N29" i="37"/>
  <c r="L29" i="37"/>
  <c r="N28" i="37"/>
  <c r="O28" i="37" s="1"/>
  <c r="L28" i="37"/>
  <c r="N27" i="37"/>
  <c r="L27" i="37"/>
  <c r="N26" i="37"/>
  <c r="O26" i="37" s="1"/>
  <c r="L26" i="37"/>
  <c r="N25" i="37"/>
  <c r="O25" i="37" s="1"/>
  <c r="L25" i="37"/>
  <c r="N24" i="37"/>
  <c r="L24" i="37"/>
  <c r="N23" i="37"/>
  <c r="O23" i="37" s="1"/>
  <c r="L23" i="37"/>
  <c r="N22" i="37"/>
  <c r="O22" i="37" s="1"/>
  <c r="L22" i="37"/>
  <c r="N21" i="37"/>
  <c r="L21" i="37"/>
  <c r="N20" i="37"/>
  <c r="O20" i="37" s="1"/>
  <c r="L20" i="37"/>
  <c r="N19" i="37"/>
  <c r="O19" i="37" s="1"/>
  <c r="L19" i="37"/>
  <c r="N17" i="37"/>
  <c r="L17" i="37"/>
  <c r="C17" i="37"/>
  <c r="C18" i="37" s="1"/>
  <c r="C19" i="37" s="1"/>
  <c r="C20" i="37" s="1"/>
  <c r="C21" i="37" s="1"/>
  <c r="C22" i="37" s="1"/>
  <c r="C23" i="37" s="1"/>
  <c r="C24" i="37" s="1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K11" i="37"/>
  <c r="I11" i="37"/>
  <c r="D8" i="37"/>
  <c r="D90" i="37" s="1"/>
  <c r="S47" i="17"/>
  <c r="O47" i="17"/>
  <c r="N47" i="17"/>
  <c r="M47" i="17"/>
  <c r="H47" i="17"/>
  <c r="N99" i="31"/>
  <c r="O99" i="31"/>
  <c r="L99" i="31"/>
  <c r="M99" i="31"/>
  <c r="D96" i="31"/>
  <c r="M18" i="31"/>
  <c r="N18" i="31"/>
  <c r="K18" i="31"/>
  <c r="L18" i="31" s="1"/>
  <c r="M17" i="30"/>
  <c r="N17" i="30" s="1"/>
  <c r="O17" i="30" s="1"/>
  <c r="K17" i="30"/>
  <c r="L17" i="30"/>
  <c r="N99" i="29"/>
  <c r="O99" i="29" s="1"/>
  <c r="L99" i="29"/>
  <c r="M99" i="29"/>
  <c r="M18" i="29"/>
  <c r="N18" i="29"/>
  <c r="K18" i="29"/>
  <c r="L18" i="29" s="1"/>
  <c r="N99" i="28"/>
  <c r="O99" i="28" s="1"/>
  <c r="P99" i="28" s="1"/>
  <c r="L99" i="28"/>
  <c r="M99" i="28" s="1"/>
  <c r="M18" i="28"/>
  <c r="N18" i="28" s="1"/>
  <c r="K18" i="28"/>
  <c r="L18" i="28"/>
  <c r="N103" i="25"/>
  <c r="O103" i="25" s="1"/>
  <c r="L103" i="25"/>
  <c r="M103" i="25" s="1"/>
  <c r="M22" i="25"/>
  <c r="N22" i="25" s="1"/>
  <c r="K22" i="25"/>
  <c r="L22" i="25"/>
  <c r="N101" i="24"/>
  <c r="O101" i="24" s="1"/>
  <c r="L101" i="24"/>
  <c r="M101" i="24" s="1"/>
  <c r="M20" i="24"/>
  <c r="N20" i="24" s="1"/>
  <c r="O20" i="24" s="1"/>
  <c r="K20" i="24"/>
  <c r="L20" i="24" s="1"/>
  <c r="M21" i="23"/>
  <c r="N21" i="23" s="1"/>
  <c r="K21" i="23"/>
  <c r="L21" i="23"/>
  <c r="N102" i="23"/>
  <c r="O102" i="23"/>
  <c r="L102" i="23"/>
  <c r="M102" i="23" s="1"/>
  <c r="N103" i="22"/>
  <c r="O103" i="22"/>
  <c r="L103" i="22"/>
  <c r="M103" i="22"/>
  <c r="M22" i="22"/>
  <c r="N22" i="22"/>
  <c r="K22" i="22"/>
  <c r="L22" i="22" s="1"/>
  <c r="N106" i="11"/>
  <c r="O106" i="11"/>
  <c r="L106" i="11"/>
  <c r="M106" i="11" s="1"/>
  <c r="M25" i="11"/>
  <c r="N25" i="11"/>
  <c r="K25" i="11"/>
  <c r="L25" i="11" s="1"/>
  <c r="N107" i="10"/>
  <c r="O107" i="10" s="1"/>
  <c r="P107" i="10" s="1"/>
  <c r="L107" i="10"/>
  <c r="M107" i="10" s="1"/>
  <c r="M26" i="10"/>
  <c r="N26" i="10"/>
  <c r="K26" i="10"/>
  <c r="L26" i="10" s="1"/>
  <c r="N106" i="9"/>
  <c r="O106" i="9" s="1"/>
  <c r="L106" i="9"/>
  <c r="M106" i="9" s="1"/>
  <c r="M25" i="9"/>
  <c r="N25" i="9"/>
  <c r="K25" i="9"/>
  <c r="L25" i="9" s="1"/>
  <c r="N105" i="8"/>
  <c r="O105" i="8" s="1"/>
  <c r="L105" i="8"/>
  <c r="M105" i="8" s="1"/>
  <c r="M24" i="8"/>
  <c r="N24" i="8"/>
  <c r="K24" i="8"/>
  <c r="N107" i="7"/>
  <c r="O107" i="7"/>
  <c r="L107" i="7"/>
  <c r="M107" i="7" s="1"/>
  <c r="M26" i="7"/>
  <c r="N26" i="7" s="1"/>
  <c r="K26" i="7"/>
  <c r="L26" i="7" s="1"/>
  <c r="N105" i="6"/>
  <c r="O105" i="6" s="1"/>
  <c r="L105" i="6"/>
  <c r="M105" i="6" s="1"/>
  <c r="M24" i="6"/>
  <c r="N24" i="6"/>
  <c r="K24" i="6"/>
  <c r="L24" i="6" s="1"/>
  <c r="N104" i="5"/>
  <c r="O104" i="5" s="1"/>
  <c r="L104" i="5"/>
  <c r="M104" i="5" s="1"/>
  <c r="M23" i="5"/>
  <c r="N23" i="5"/>
  <c r="K23" i="5"/>
  <c r="L23" i="5" s="1"/>
  <c r="N104" i="4"/>
  <c r="O104" i="4" s="1"/>
  <c r="L104" i="4"/>
  <c r="M104" i="4" s="1"/>
  <c r="M23" i="4"/>
  <c r="N23" i="4"/>
  <c r="K23" i="4"/>
  <c r="L23" i="4" s="1"/>
  <c r="N104" i="3"/>
  <c r="O104" i="3" s="1"/>
  <c r="L104" i="3"/>
  <c r="M104" i="3" s="1"/>
  <c r="M23" i="3"/>
  <c r="N23" i="3"/>
  <c r="K23" i="3"/>
  <c r="L23" i="3" s="1"/>
  <c r="N100" i="27"/>
  <c r="O100" i="27" s="1"/>
  <c r="L100" i="27"/>
  <c r="M100" i="27" s="1"/>
  <c r="N99" i="27"/>
  <c r="O99" i="27"/>
  <c r="P99" i="27" s="1"/>
  <c r="L99" i="27"/>
  <c r="M99" i="27"/>
  <c r="M19" i="27"/>
  <c r="N19" i="27" s="1"/>
  <c r="K19" i="27"/>
  <c r="L19" i="27" s="1"/>
  <c r="M17" i="31"/>
  <c r="N17" i="31" s="1"/>
  <c r="K17" i="31"/>
  <c r="L17" i="31"/>
  <c r="W45" i="17"/>
  <c r="W34" i="17"/>
  <c r="P34" i="17"/>
  <c r="P154" i="31"/>
  <c r="O154" i="31"/>
  <c r="M154" i="31"/>
  <c r="P153" i="31"/>
  <c r="O153" i="31"/>
  <c r="M153" i="31"/>
  <c r="P152" i="31"/>
  <c r="O152" i="31"/>
  <c r="M152" i="31"/>
  <c r="P151" i="31"/>
  <c r="O151" i="31"/>
  <c r="M151" i="31"/>
  <c r="P150" i="31"/>
  <c r="O150" i="31"/>
  <c r="M150" i="31"/>
  <c r="P149" i="31"/>
  <c r="O149" i="31"/>
  <c r="M149" i="31"/>
  <c r="P148" i="31"/>
  <c r="O148" i="31"/>
  <c r="M148" i="31"/>
  <c r="P147" i="31"/>
  <c r="O147" i="31"/>
  <c r="M147" i="31"/>
  <c r="P146" i="31"/>
  <c r="O146" i="31"/>
  <c r="M146" i="31"/>
  <c r="P145" i="31"/>
  <c r="O145" i="31"/>
  <c r="M145" i="31"/>
  <c r="P144" i="31"/>
  <c r="O144" i="31"/>
  <c r="M144" i="31"/>
  <c r="P143" i="31"/>
  <c r="O143" i="31"/>
  <c r="M143" i="31"/>
  <c r="P142" i="31"/>
  <c r="O142" i="31"/>
  <c r="M142" i="31"/>
  <c r="P141" i="31"/>
  <c r="O141" i="31"/>
  <c r="M141" i="31"/>
  <c r="P140" i="31"/>
  <c r="O140" i="31"/>
  <c r="M140" i="31"/>
  <c r="P139" i="31"/>
  <c r="O139" i="31"/>
  <c r="M139" i="31"/>
  <c r="P138" i="31"/>
  <c r="O138" i="31"/>
  <c r="M138" i="31"/>
  <c r="P137" i="31"/>
  <c r="O137" i="31"/>
  <c r="M137" i="31"/>
  <c r="P136" i="31"/>
  <c r="O136" i="31"/>
  <c r="M136" i="31"/>
  <c r="P135" i="31"/>
  <c r="O135" i="31"/>
  <c r="M135" i="31"/>
  <c r="P134" i="31"/>
  <c r="O134" i="31"/>
  <c r="M134" i="31"/>
  <c r="P133" i="31"/>
  <c r="O133" i="31"/>
  <c r="M133" i="31"/>
  <c r="P132" i="31"/>
  <c r="O132" i="31"/>
  <c r="M132" i="31"/>
  <c r="P131" i="31"/>
  <c r="O131" i="31"/>
  <c r="M131" i="31"/>
  <c r="O130" i="31"/>
  <c r="M130" i="31"/>
  <c r="O129" i="31"/>
  <c r="M129" i="31"/>
  <c r="O128" i="31"/>
  <c r="M128" i="31"/>
  <c r="O127" i="31"/>
  <c r="M127" i="31"/>
  <c r="O126" i="31"/>
  <c r="P126" i="31" s="1"/>
  <c r="M126" i="31"/>
  <c r="O125" i="31"/>
  <c r="M125" i="31"/>
  <c r="O124" i="31"/>
  <c r="M124" i="31"/>
  <c r="O123" i="31"/>
  <c r="M123" i="31"/>
  <c r="P123" i="31" s="1"/>
  <c r="O122" i="31"/>
  <c r="P122" i="31" s="1"/>
  <c r="M122" i="31"/>
  <c r="O121" i="31"/>
  <c r="M121" i="31"/>
  <c r="P121" i="31" s="1"/>
  <c r="O120" i="31"/>
  <c r="M120" i="31"/>
  <c r="O119" i="31"/>
  <c r="M119" i="31"/>
  <c r="P119" i="31" s="1"/>
  <c r="O118" i="31"/>
  <c r="M118" i="31"/>
  <c r="O117" i="31"/>
  <c r="M117" i="31"/>
  <c r="O116" i="31"/>
  <c r="M116" i="31"/>
  <c r="O115" i="31"/>
  <c r="M115" i="31"/>
  <c r="P115" i="31" s="1"/>
  <c r="O114" i="31"/>
  <c r="P114" i="31" s="1"/>
  <c r="M114" i="31"/>
  <c r="O113" i="31"/>
  <c r="M113" i="31"/>
  <c r="O112" i="31"/>
  <c r="P112" i="31" s="1"/>
  <c r="M112" i="31"/>
  <c r="O111" i="31"/>
  <c r="M111" i="31"/>
  <c r="O110" i="31"/>
  <c r="P110" i="31" s="1"/>
  <c r="M110" i="31"/>
  <c r="O109" i="31"/>
  <c r="M109" i="31"/>
  <c r="P109" i="31" s="1"/>
  <c r="O108" i="31"/>
  <c r="M108" i="31"/>
  <c r="O107" i="31"/>
  <c r="M107" i="31"/>
  <c r="O106" i="31"/>
  <c r="M106" i="31"/>
  <c r="O105" i="31"/>
  <c r="M105" i="31"/>
  <c r="O104" i="31"/>
  <c r="P104" i="31" s="1"/>
  <c r="M104" i="31"/>
  <c r="O103" i="31"/>
  <c r="M103" i="31"/>
  <c r="O102" i="31"/>
  <c r="M102" i="31"/>
  <c r="L93" i="31"/>
  <c r="J93" i="31"/>
  <c r="E91" i="31"/>
  <c r="D91" i="31"/>
  <c r="D89" i="31"/>
  <c r="N72" i="31"/>
  <c r="L72" i="31"/>
  <c r="N71" i="31"/>
  <c r="O71" i="31"/>
  <c r="L71" i="31"/>
  <c r="N70" i="31"/>
  <c r="L70" i="31"/>
  <c r="N69" i="31"/>
  <c r="L69" i="31"/>
  <c r="N68" i="31"/>
  <c r="L68" i="31"/>
  <c r="N67" i="31"/>
  <c r="L67" i="31"/>
  <c r="N66" i="31"/>
  <c r="L66" i="31"/>
  <c r="N65" i="31"/>
  <c r="L65" i="31"/>
  <c r="N64" i="31"/>
  <c r="L64" i="31"/>
  <c r="N63" i="31"/>
  <c r="L63" i="31"/>
  <c r="O63" i="31"/>
  <c r="N62" i="31"/>
  <c r="L62" i="31"/>
  <c r="N61" i="31"/>
  <c r="O61" i="31" s="1"/>
  <c r="L61" i="31"/>
  <c r="N60" i="31"/>
  <c r="L60" i="31"/>
  <c r="N59" i="31"/>
  <c r="L59" i="31"/>
  <c r="N58" i="31"/>
  <c r="L58" i="31"/>
  <c r="O58" i="31" s="1"/>
  <c r="N57" i="31"/>
  <c r="O57" i="31" s="1"/>
  <c r="L57" i="31"/>
  <c r="N56" i="31"/>
  <c r="L56" i="31"/>
  <c r="N55" i="31"/>
  <c r="L55" i="31"/>
  <c r="N54" i="31"/>
  <c r="L54" i="31"/>
  <c r="N53" i="31"/>
  <c r="L53" i="31"/>
  <c r="O53" i="31"/>
  <c r="N52" i="31"/>
  <c r="L52" i="31"/>
  <c r="N51" i="31"/>
  <c r="O51" i="31" s="1"/>
  <c r="L51" i="31"/>
  <c r="N50" i="31"/>
  <c r="O50" i="31" s="1"/>
  <c r="L50" i="31"/>
  <c r="N49" i="31"/>
  <c r="L49" i="31"/>
  <c r="N48" i="31"/>
  <c r="L48" i="31"/>
  <c r="N47" i="31"/>
  <c r="L47" i="31"/>
  <c r="N46" i="31"/>
  <c r="L46" i="31"/>
  <c r="N45" i="31"/>
  <c r="L45" i="31"/>
  <c r="N44" i="31"/>
  <c r="L44" i="31"/>
  <c r="N43" i="31"/>
  <c r="O43" i="31" s="1"/>
  <c r="L43" i="31"/>
  <c r="N42" i="31"/>
  <c r="L42" i="31"/>
  <c r="N41" i="31"/>
  <c r="L41" i="31"/>
  <c r="O41" i="31" s="1"/>
  <c r="N40" i="31"/>
  <c r="L40" i="31"/>
  <c r="N39" i="31"/>
  <c r="L39" i="31"/>
  <c r="N38" i="31"/>
  <c r="L38" i="31"/>
  <c r="N37" i="31"/>
  <c r="L37" i="31"/>
  <c r="N36" i="31"/>
  <c r="L36" i="31"/>
  <c r="N35" i="31"/>
  <c r="O35" i="31" s="1"/>
  <c r="L35" i="31"/>
  <c r="N34" i="31"/>
  <c r="L34" i="31"/>
  <c r="N33" i="31"/>
  <c r="L33" i="31"/>
  <c r="N32" i="31"/>
  <c r="L32" i="31"/>
  <c r="N31" i="31"/>
  <c r="O31" i="31" s="1"/>
  <c r="L31" i="31"/>
  <c r="N30" i="31"/>
  <c r="O30" i="31" s="1"/>
  <c r="L30" i="31"/>
  <c r="N29" i="31"/>
  <c r="L29" i="31"/>
  <c r="N28" i="31"/>
  <c r="L28" i="31"/>
  <c r="N27" i="31"/>
  <c r="L27" i="31"/>
  <c r="N26" i="31"/>
  <c r="O26" i="31" s="1"/>
  <c r="L26" i="31"/>
  <c r="N25" i="31"/>
  <c r="L25" i="31"/>
  <c r="N24" i="31"/>
  <c r="L24" i="31"/>
  <c r="N23" i="31"/>
  <c r="O23" i="31" s="1"/>
  <c r="L23" i="31"/>
  <c r="N22" i="31"/>
  <c r="L22" i="3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C34" i="31" s="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K11" i="31"/>
  <c r="I11" i="31"/>
  <c r="P1" i="31"/>
  <c r="P83" i="31" s="1"/>
  <c r="P154" i="30"/>
  <c r="O154" i="30"/>
  <c r="M154" i="30"/>
  <c r="P153" i="30"/>
  <c r="O153" i="30"/>
  <c r="M153" i="30"/>
  <c r="P152" i="30"/>
  <c r="O152" i="30"/>
  <c r="M152" i="30"/>
  <c r="P151" i="30"/>
  <c r="O151" i="30"/>
  <c r="M151" i="30"/>
  <c r="P150" i="30"/>
  <c r="O150" i="30"/>
  <c r="M150" i="30"/>
  <c r="P149" i="30"/>
  <c r="O149" i="30"/>
  <c r="M149" i="30"/>
  <c r="P148" i="30"/>
  <c r="O148" i="30"/>
  <c r="M148" i="30"/>
  <c r="P147" i="30"/>
  <c r="O147" i="30"/>
  <c r="M147" i="30"/>
  <c r="P146" i="30"/>
  <c r="O146" i="30"/>
  <c r="M146" i="30"/>
  <c r="P145" i="30"/>
  <c r="O145" i="30"/>
  <c r="M145" i="30"/>
  <c r="P144" i="30"/>
  <c r="O144" i="30"/>
  <c r="M144" i="30"/>
  <c r="P143" i="30"/>
  <c r="O143" i="30"/>
  <c r="M143" i="30"/>
  <c r="P142" i="30"/>
  <c r="O142" i="30"/>
  <c r="M142" i="30"/>
  <c r="P141" i="30"/>
  <c r="O141" i="30"/>
  <c r="M141" i="30"/>
  <c r="P140" i="30"/>
  <c r="O140" i="30"/>
  <c r="M140" i="30"/>
  <c r="P139" i="30"/>
  <c r="O139" i="30"/>
  <c r="M139" i="30"/>
  <c r="P138" i="30"/>
  <c r="O138" i="30"/>
  <c r="M138" i="30"/>
  <c r="P137" i="30"/>
  <c r="O137" i="30"/>
  <c r="M137" i="30"/>
  <c r="P136" i="30"/>
  <c r="O136" i="30"/>
  <c r="M136" i="30"/>
  <c r="P135" i="30"/>
  <c r="O135" i="30"/>
  <c r="M135" i="30"/>
  <c r="P134" i="30"/>
  <c r="O134" i="30"/>
  <c r="M134" i="30"/>
  <c r="P133" i="30"/>
  <c r="O133" i="30"/>
  <c r="M133" i="30"/>
  <c r="P132" i="30"/>
  <c r="O132" i="30"/>
  <c r="M132" i="30"/>
  <c r="P131" i="30"/>
  <c r="O131" i="30"/>
  <c r="M131" i="30"/>
  <c r="O130" i="30"/>
  <c r="M130" i="30"/>
  <c r="O129" i="30"/>
  <c r="M129" i="30"/>
  <c r="P129" i="30" s="1"/>
  <c r="O128" i="30"/>
  <c r="M128" i="30"/>
  <c r="O127" i="30"/>
  <c r="M127" i="30"/>
  <c r="O126" i="30"/>
  <c r="M126" i="30"/>
  <c r="O125" i="30"/>
  <c r="M125" i="30"/>
  <c r="O124" i="30"/>
  <c r="M124" i="30"/>
  <c r="O123" i="30"/>
  <c r="M123" i="30"/>
  <c r="P123" i="30" s="1"/>
  <c r="O122" i="30"/>
  <c r="M122" i="30"/>
  <c r="O121" i="30"/>
  <c r="M121" i="30"/>
  <c r="P121" i="30" s="1"/>
  <c r="O120" i="30"/>
  <c r="M120" i="30"/>
  <c r="O119" i="30"/>
  <c r="M119" i="30"/>
  <c r="O118" i="30"/>
  <c r="P118" i="30" s="1"/>
  <c r="M118" i="30"/>
  <c r="O117" i="30"/>
  <c r="M117" i="30"/>
  <c r="O116" i="30"/>
  <c r="M116" i="30"/>
  <c r="O115" i="30"/>
  <c r="M115" i="30"/>
  <c r="O114" i="30"/>
  <c r="M114" i="30"/>
  <c r="O113" i="30"/>
  <c r="M113" i="30"/>
  <c r="P113" i="30" s="1"/>
  <c r="O112" i="30"/>
  <c r="M112" i="30"/>
  <c r="O111" i="30"/>
  <c r="M111" i="30"/>
  <c r="O110" i="30"/>
  <c r="M110" i="30"/>
  <c r="O109" i="30"/>
  <c r="M109" i="30"/>
  <c r="O108" i="30"/>
  <c r="M108" i="30"/>
  <c r="O107" i="30"/>
  <c r="M107" i="30"/>
  <c r="P107" i="30" s="1"/>
  <c r="O106" i="30"/>
  <c r="M106" i="30"/>
  <c r="O105" i="30"/>
  <c r="M105" i="30"/>
  <c r="O104" i="30"/>
  <c r="M104" i="30"/>
  <c r="O103" i="30"/>
  <c r="M103" i="30"/>
  <c r="O102" i="30"/>
  <c r="P102" i="30" s="1"/>
  <c r="M102" i="30"/>
  <c r="O101" i="30"/>
  <c r="M101" i="30"/>
  <c r="P101" i="30" s="1"/>
  <c r="O99" i="30"/>
  <c r="M99" i="30"/>
  <c r="D96" i="30"/>
  <c r="L93" i="30"/>
  <c r="J93" i="30"/>
  <c r="E91" i="30"/>
  <c r="D91" i="30"/>
  <c r="D89" i="30"/>
  <c r="N72" i="30"/>
  <c r="O72" i="30" s="1"/>
  <c r="L72" i="30"/>
  <c r="N71" i="30"/>
  <c r="L71" i="30"/>
  <c r="O71" i="30"/>
  <c r="N70" i="30"/>
  <c r="L70" i="30"/>
  <c r="N69" i="30"/>
  <c r="L69" i="30"/>
  <c r="N68" i="30"/>
  <c r="L68" i="30"/>
  <c r="N67" i="30"/>
  <c r="L67" i="30"/>
  <c r="O67" i="30" s="1"/>
  <c r="N66" i="30"/>
  <c r="L66" i="30"/>
  <c r="N65" i="30"/>
  <c r="L65" i="30"/>
  <c r="N64" i="30"/>
  <c r="L64" i="30"/>
  <c r="N63" i="30"/>
  <c r="L63" i="30"/>
  <c r="N62" i="30"/>
  <c r="L62" i="30"/>
  <c r="N61" i="30"/>
  <c r="L61" i="30"/>
  <c r="N60" i="30"/>
  <c r="L60" i="30"/>
  <c r="N59" i="30"/>
  <c r="O59" i="30" s="1"/>
  <c r="L59" i="30"/>
  <c r="N58" i="30"/>
  <c r="L58" i="30"/>
  <c r="N57" i="30"/>
  <c r="O57" i="30" s="1"/>
  <c r="L57" i="30"/>
  <c r="N56" i="30"/>
  <c r="L56" i="30"/>
  <c r="N55" i="30"/>
  <c r="L55" i="30"/>
  <c r="N54" i="30"/>
  <c r="L54" i="30"/>
  <c r="N53" i="30"/>
  <c r="L53" i="30"/>
  <c r="N52" i="30"/>
  <c r="L52" i="30"/>
  <c r="N51" i="30"/>
  <c r="L51" i="30"/>
  <c r="N50" i="30"/>
  <c r="O50" i="30"/>
  <c r="L50" i="30"/>
  <c r="N49" i="30"/>
  <c r="L49" i="30"/>
  <c r="N48" i="30"/>
  <c r="L48" i="30"/>
  <c r="N47" i="30"/>
  <c r="L47" i="30"/>
  <c r="N46" i="30"/>
  <c r="L46" i="30"/>
  <c r="N45" i="30"/>
  <c r="L45" i="30"/>
  <c r="N44" i="30"/>
  <c r="L44" i="30"/>
  <c r="N43" i="30"/>
  <c r="L43" i="30"/>
  <c r="N42" i="30"/>
  <c r="L42" i="30"/>
  <c r="N41" i="30"/>
  <c r="O41" i="30" s="1"/>
  <c r="L41" i="30"/>
  <c r="N40" i="30"/>
  <c r="L40" i="30"/>
  <c r="N39" i="30"/>
  <c r="L39" i="30"/>
  <c r="N38" i="30"/>
  <c r="L38" i="30"/>
  <c r="N37" i="30"/>
  <c r="L37" i="30"/>
  <c r="N36" i="30"/>
  <c r="O36" i="30" s="1"/>
  <c r="L36" i="30"/>
  <c r="N35" i="30"/>
  <c r="L35" i="30"/>
  <c r="N34" i="30"/>
  <c r="L34" i="30"/>
  <c r="N33" i="30"/>
  <c r="L33" i="30"/>
  <c r="N32" i="30"/>
  <c r="O32" i="30" s="1"/>
  <c r="L32" i="30"/>
  <c r="N31" i="30"/>
  <c r="O31" i="30" s="1"/>
  <c r="L31" i="30"/>
  <c r="N30" i="30"/>
  <c r="L30" i="30"/>
  <c r="N29" i="30"/>
  <c r="L29" i="30"/>
  <c r="N28" i="30"/>
  <c r="O28" i="30" s="1"/>
  <c r="L28" i="30"/>
  <c r="N27" i="30"/>
  <c r="L27" i="30"/>
  <c r="N26" i="30"/>
  <c r="O26" i="30" s="1"/>
  <c r="L26" i="30"/>
  <c r="N25" i="30"/>
  <c r="O25" i="30" s="1"/>
  <c r="L25" i="30"/>
  <c r="N24" i="30"/>
  <c r="L24" i="30"/>
  <c r="N23" i="30"/>
  <c r="L23" i="30"/>
  <c r="N22" i="30"/>
  <c r="L22" i="30"/>
  <c r="N21" i="30"/>
  <c r="O21" i="30" s="1"/>
  <c r="L21" i="30"/>
  <c r="C17" i="30"/>
  <c r="C18" i="30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K11" i="30"/>
  <c r="I11" i="30"/>
  <c r="D8" i="30"/>
  <c r="D90" i="30" s="1"/>
  <c r="P1" i="30"/>
  <c r="P83" i="30" s="1"/>
  <c r="M17" i="29"/>
  <c r="N17" i="29"/>
  <c r="K17" i="29"/>
  <c r="L17" i="29"/>
  <c r="M17" i="28"/>
  <c r="N17" i="28" s="1"/>
  <c r="K17" i="28"/>
  <c r="L17" i="28" s="1"/>
  <c r="N102" i="25"/>
  <c r="O102" i="25"/>
  <c r="L102" i="25"/>
  <c r="M102" i="25" s="1"/>
  <c r="M21" i="25"/>
  <c r="N21" i="25"/>
  <c r="K21" i="25"/>
  <c r="L21" i="25" s="1"/>
  <c r="N100" i="24"/>
  <c r="O100" i="24"/>
  <c r="P100" i="24" s="1"/>
  <c r="L100" i="24"/>
  <c r="M100" i="24"/>
  <c r="M19" i="24"/>
  <c r="N19" i="24" s="1"/>
  <c r="K19" i="24"/>
  <c r="L19" i="24"/>
  <c r="N101" i="23"/>
  <c r="O101" i="23" s="1"/>
  <c r="P101" i="23" s="1"/>
  <c r="L101" i="23"/>
  <c r="M101" i="23" s="1"/>
  <c r="M20" i="23"/>
  <c r="N20" i="23" s="1"/>
  <c r="O20" i="23" s="1"/>
  <c r="K20" i="23"/>
  <c r="L20" i="23" s="1"/>
  <c r="N102" i="22"/>
  <c r="O102" i="22"/>
  <c r="P102" i="22" s="1"/>
  <c r="L102" i="22"/>
  <c r="M102" i="22" s="1"/>
  <c r="M21" i="22"/>
  <c r="N21" i="22"/>
  <c r="K21" i="22"/>
  <c r="L21" i="22" s="1"/>
  <c r="N105" i="11"/>
  <c r="O105" i="11" s="1"/>
  <c r="L105" i="11"/>
  <c r="M105" i="11" s="1"/>
  <c r="M24" i="11"/>
  <c r="K24" i="11"/>
  <c r="L24" i="11" s="1"/>
  <c r="N106" i="10"/>
  <c r="O106" i="10"/>
  <c r="L106" i="10"/>
  <c r="M106" i="10" s="1"/>
  <c r="M25" i="10"/>
  <c r="N25" i="10"/>
  <c r="K25" i="10"/>
  <c r="L25" i="10" s="1"/>
  <c r="N105" i="9"/>
  <c r="O105" i="9"/>
  <c r="P105" i="9" s="1"/>
  <c r="L105" i="9"/>
  <c r="M105" i="9" s="1"/>
  <c r="M24" i="9"/>
  <c r="N24" i="9"/>
  <c r="O24" i="9" s="1"/>
  <c r="K24" i="9"/>
  <c r="L24" i="9"/>
  <c r="N104" i="8"/>
  <c r="O104" i="8" s="1"/>
  <c r="L104" i="8"/>
  <c r="M104" i="8"/>
  <c r="M23" i="8"/>
  <c r="N23" i="8" s="1"/>
  <c r="K23" i="8"/>
  <c r="L23" i="8"/>
  <c r="N106" i="7"/>
  <c r="O106" i="7" s="1"/>
  <c r="L106" i="7"/>
  <c r="M106" i="7"/>
  <c r="M25" i="7"/>
  <c r="N25" i="7" s="1"/>
  <c r="K25" i="7"/>
  <c r="L25" i="7" s="1"/>
  <c r="N104" i="6"/>
  <c r="O104" i="6" s="1"/>
  <c r="L104" i="6"/>
  <c r="M104" i="6" s="1"/>
  <c r="M23" i="6"/>
  <c r="N23" i="6"/>
  <c r="K23" i="6"/>
  <c r="L23" i="6" s="1"/>
  <c r="N103" i="5"/>
  <c r="O103" i="5"/>
  <c r="L103" i="5"/>
  <c r="M103" i="5" s="1"/>
  <c r="M22" i="5"/>
  <c r="N22" i="5" s="1"/>
  <c r="K22" i="5"/>
  <c r="L22" i="5" s="1"/>
  <c r="N103" i="4"/>
  <c r="O103" i="4" s="1"/>
  <c r="L103" i="4"/>
  <c r="M103" i="4"/>
  <c r="M22" i="4"/>
  <c r="N22" i="4" s="1"/>
  <c r="K22" i="4"/>
  <c r="L22" i="4"/>
  <c r="N103" i="3"/>
  <c r="O103" i="3" s="1"/>
  <c r="L103" i="3"/>
  <c r="M103" i="3"/>
  <c r="M22" i="3"/>
  <c r="K22" i="3"/>
  <c r="L22" i="3" s="1"/>
  <c r="D8" i="13"/>
  <c r="D10" i="23"/>
  <c r="D92" i="23" s="1"/>
  <c r="P1" i="29"/>
  <c r="P83" i="29" s="1"/>
  <c r="P1" i="28"/>
  <c r="P83" i="28" s="1"/>
  <c r="P1" i="27"/>
  <c r="P83" i="27" s="1"/>
  <c r="D8" i="29"/>
  <c r="D90" i="29" s="1"/>
  <c r="D8" i="28"/>
  <c r="D90" i="28"/>
  <c r="D8" i="27"/>
  <c r="D90" i="27"/>
  <c r="D8" i="25"/>
  <c r="D8" i="24"/>
  <c r="D8" i="22"/>
  <c r="D8" i="11"/>
  <c r="D8" i="10"/>
  <c r="E91" i="28"/>
  <c r="E91" i="29"/>
  <c r="W33" i="17"/>
  <c r="P33" i="17"/>
  <c r="W32" i="17"/>
  <c r="P32" i="17"/>
  <c r="N102" i="5"/>
  <c r="O102" i="5"/>
  <c r="L102" i="5"/>
  <c r="M102" i="5" s="1"/>
  <c r="P154" i="29"/>
  <c r="O154" i="29"/>
  <c r="M154" i="29"/>
  <c r="P153" i="29"/>
  <c r="O153" i="29"/>
  <c r="M153" i="29"/>
  <c r="P152" i="29"/>
  <c r="O152" i="29"/>
  <c r="M152" i="29"/>
  <c r="P151" i="29"/>
  <c r="O151" i="29"/>
  <c r="M151" i="29"/>
  <c r="P150" i="29"/>
  <c r="O150" i="29"/>
  <c r="M150" i="29"/>
  <c r="P149" i="29"/>
  <c r="O149" i="29"/>
  <c r="M149" i="29"/>
  <c r="P148" i="29"/>
  <c r="O148" i="29"/>
  <c r="M148" i="29"/>
  <c r="P147" i="29"/>
  <c r="O147" i="29"/>
  <c r="M147" i="29"/>
  <c r="P146" i="29"/>
  <c r="O146" i="29"/>
  <c r="M146" i="29"/>
  <c r="P145" i="29"/>
  <c r="O145" i="29"/>
  <c r="M145" i="29"/>
  <c r="P144" i="29"/>
  <c r="O144" i="29"/>
  <c r="M144" i="29"/>
  <c r="P143" i="29"/>
  <c r="O143" i="29"/>
  <c r="M143" i="29"/>
  <c r="P142" i="29"/>
  <c r="O142" i="29"/>
  <c r="M142" i="29"/>
  <c r="P141" i="29"/>
  <c r="O141" i="29"/>
  <c r="M141" i="29"/>
  <c r="P140" i="29"/>
  <c r="O140" i="29"/>
  <c r="M140" i="29"/>
  <c r="P139" i="29"/>
  <c r="O139" i="29"/>
  <c r="M139" i="29"/>
  <c r="P138" i="29"/>
  <c r="O138" i="29"/>
  <c r="M138" i="29"/>
  <c r="P137" i="29"/>
  <c r="O137" i="29"/>
  <c r="M137" i="29"/>
  <c r="P136" i="29"/>
  <c r="O136" i="29"/>
  <c r="M136" i="29"/>
  <c r="P135" i="29"/>
  <c r="O135" i="29"/>
  <c r="M135" i="29"/>
  <c r="P134" i="29"/>
  <c r="O134" i="29"/>
  <c r="M134" i="29"/>
  <c r="P133" i="29"/>
  <c r="O133" i="29"/>
  <c r="M133" i="29"/>
  <c r="P132" i="29"/>
  <c r="O132" i="29"/>
  <c r="M132" i="29"/>
  <c r="P131" i="29"/>
  <c r="O131" i="29"/>
  <c r="M131" i="29"/>
  <c r="O130" i="29"/>
  <c r="M130" i="29"/>
  <c r="P130" i="29" s="1"/>
  <c r="O129" i="29"/>
  <c r="M129" i="29"/>
  <c r="O128" i="29"/>
  <c r="M128" i="29"/>
  <c r="O127" i="29"/>
  <c r="P127" i="29" s="1"/>
  <c r="M127" i="29"/>
  <c r="O126" i="29"/>
  <c r="M126" i="29"/>
  <c r="O125" i="29"/>
  <c r="M125" i="29"/>
  <c r="O124" i="29"/>
  <c r="M124" i="29"/>
  <c r="P124" i="29" s="1"/>
  <c r="O123" i="29"/>
  <c r="M123" i="29"/>
  <c r="O122" i="29"/>
  <c r="M122" i="29"/>
  <c r="P122" i="29" s="1"/>
  <c r="O121" i="29"/>
  <c r="M121" i="29"/>
  <c r="O120" i="29"/>
  <c r="M120" i="29"/>
  <c r="P120" i="29" s="1"/>
  <c r="O119" i="29"/>
  <c r="M119" i="29"/>
  <c r="O118" i="29"/>
  <c r="M118" i="29"/>
  <c r="O117" i="29"/>
  <c r="M117" i="29"/>
  <c r="O116" i="29"/>
  <c r="M116" i="29"/>
  <c r="P116" i="29" s="1"/>
  <c r="O115" i="29"/>
  <c r="M115" i="29"/>
  <c r="O114" i="29"/>
  <c r="M114" i="29"/>
  <c r="P114" i="29" s="1"/>
  <c r="O113" i="29"/>
  <c r="M113" i="29"/>
  <c r="O112" i="29"/>
  <c r="M112" i="29"/>
  <c r="P112" i="29" s="1"/>
  <c r="O111" i="29"/>
  <c r="M111" i="29"/>
  <c r="O110" i="29"/>
  <c r="M110" i="29"/>
  <c r="O109" i="29"/>
  <c r="M109" i="29"/>
  <c r="O108" i="29"/>
  <c r="M108" i="29"/>
  <c r="P108" i="29" s="1"/>
  <c r="O107" i="29"/>
  <c r="P107" i="29" s="1"/>
  <c r="M107" i="29"/>
  <c r="O106" i="29"/>
  <c r="M106" i="29"/>
  <c r="P106" i="29" s="1"/>
  <c r="O105" i="29"/>
  <c r="P105" i="29" s="1"/>
  <c r="M105" i="29"/>
  <c r="O104" i="29"/>
  <c r="M104" i="29"/>
  <c r="P104" i="29" s="1"/>
  <c r="O103" i="29"/>
  <c r="M103" i="29"/>
  <c r="O102" i="29"/>
  <c r="M102" i="29"/>
  <c r="D96" i="29"/>
  <c r="L93" i="29"/>
  <c r="J93" i="29"/>
  <c r="D91" i="29"/>
  <c r="D89" i="29"/>
  <c r="N72" i="29"/>
  <c r="O72" i="29" s="1"/>
  <c r="L72" i="29"/>
  <c r="N71" i="29"/>
  <c r="L71" i="29"/>
  <c r="N70" i="29"/>
  <c r="O70" i="29"/>
  <c r="L70" i="29"/>
  <c r="N69" i="29"/>
  <c r="O69" i="29" s="1"/>
  <c r="L69" i="29"/>
  <c r="N68" i="29"/>
  <c r="L68" i="29"/>
  <c r="N67" i="29"/>
  <c r="L67" i="29"/>
  <c r="N66" i="29"/>
  <c r="O66" i="29" s="1"/>
  <c r="L66" i="29"/>
  <c r="N65" i="29"/>
  <c r="L65" i="29"/>
  <c r="O65" i="29" s="1"/>
  <c r="N64" i="29"/>
  <c r="O64" i="29"/>
  <c r="L64" i="29"/>
  <c r="N63" i="29"/>
  <c r="O63" i="29" s="1"/>
  <c r="L63" i="29"/>
  <c r="N62" i="29"/>
  <c r="L62" i="29"/>
  <c r="N61" i="29"/>
  <c r="O61" i="29"/>
  <c r="L61" i="29"/>
  <c r="N60" i="29"/>
  <c r="O60" i="29" s="1"/>
  <c r="L60" i="29"/>
  <c r="N59" i="29"/>
  <c r="L59" i="29"/>
  <c r="N58" i="29"/>
  <c r="O58" i="29"/>
  <c r="L58" i="29"/>
  <c r="N57" i="29"/>
  <c r="L57" i="29"/>
  <c r="N56" i="29"/>
  <c r="L56" i="29"/>
  <c r="O56" i="29" s="1"/>
  <c r="N55" i="29"/>
  <c r="O55" i="29"/>
  <c r="L55" i="29"/>
  <c r="N54" i="29"/>
  <c r="L54" i="29"/>
  <c r="N53" i="29"/>
  <c r="O53" i="29"/>
  <c r="L53" i="29"/>
  <c r="N52" i="29"/>
  <c r="L52" i="29"/>
  <c r="N51" i="29"/>
  <c r="O51" i="29" s="1"/>
  <c r="L51" i="29"/>
  <c r="N50" i="29"/>
  <c r="L50" i="29"/>
  <c r="N49" i="29"/>
  <c r="L49" i="29"/>
  <c r="N48" i="29"/>
  <c r="L48" i="29"/>
  <c r="N47" i="29"/>
  <c r="O47" i="29" s="1"/>
  <c r="L47" i="29"/>
  <c r="N46" i="29"/>
  <c r="O46" i="29" s="1"/>
  <c r="L46" i="29"/>
  <c r="N45" i="29"/>
  <c r="L45" i="29"/>
  <c r="N44" i="29"/>
  <c r="L44" i="29"/>
  <c r="N43" i="29"/>
  <c r="L43" i="29"/>
  <c r="N42" i="29"/>
  <c r="L42" i="29"/>
  <c r="N41" i="29"/>
  <c r="L41" i="29"/>
  <c r="N40" i="29"/>
  <c r="O40" i="29" s="1"/>
  <c r="L40" i="29"/>
  <c r="N39" i="29"/>
  <c r="L39" i="29"/>
  <c r="N38" i="29"/>
  <c r="L38" i="29"/>
  <c r="N37" i="29"/>
  <c r="L37" i="29"/>
  <c r="N36" i="29"/>
  <c r="L36" i="29"/>
  <c r="N35" i="29"/>
  <c r="O35" i="29" s="1"/>
  <c r="L35" i="29"/>
  <c r="N34" i="29"/>
  <c r="L34" i="29"/>
  <c r="N33" i="29"/>
  <c r="L33" i="29"/>
  <c r="N32" i="29"/>
  <c r="O32" i="29"/>
  <c r="L32" i="29"/>
  <c r="N31" i="29"/>
  <c r="O31" i="29" s="1"/>
  <c r="L31" i="29"/>
  <c r="N30" i="29"/>
  <c r="O30" i="29" s="1"/>
  <c r="L30" i="29"/>
  <c r="N29" i="29"/>
  <c r="O29" i="29" s="1"/>
  <c r="L29" i="29"/>
  <c r="N28" i="29"/>
  <c r="O28" i="29" s="1"/>
  <c r="L28" i="29"/>
  <c r="N27" i="29"/>
  <c r="L27" i="29"/>
  <c r="O27" i="29"/>
  <c r="N26" i="29"/>
  <c r="L26" i="29"/>
  <c r="O26" i="29" s="1"/>
  <c r="N25" i="29"/>
  <c r="L25" i="29"/>
  <c r="N24" i="29"/>
  <c r="L24" i="29"/>
  <c r="N23" i="29"/>
  <c r="L23" i="29"/>
  <c r="O23" i="29"/>
  <c r="N22" i="29"/>
  <c r="L22" i="29"/>
  <c r="C17" i="29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K11" i="29"/>
  <c r="I11" i="29"/>
  <c r="P154" i="28"/>
  <c r="O154" i="28"/>
  <c r="M154" i="28"/>
  <c r="P153" i="28"/>
  <c r="O153" i="28"/>
  <c r="M153" i="28"/>
  <c r="P152" i="28"/>
  <c r="O152" i="28"/>
  <c r="M152" i="28"/>
  <c r="P151" i="28"/>
  <c r="O151" i="28"/>
  <c r="M151" i="28"/>
  <c r="P150" i="28"/>
  <c r="O150" i="28"/>
  <c r="M150" i="28"/>
  <c r="P149" i="28"/>
  <c r="O149" i="28"/>
  <c r="M149" i="28"/>
  <c r="P148" i="28"/>
  <c r="O148" i="28"/>
  <c r="M148" i="28"/>
  <c r="P147" i="28"/>
  <c r="O147" i="28"/>
  <c r="M147" i="28"/>
  <c r="P146" i="28"/>
  <c r="O146" i="28"/>
  <c r="M146" i="28"/>
  <c r="P145" i="28"/>
  <c r="O145" i="28"/>
  <c r="M145" i="28"/>
  <c r="P144" i="28"/>
  <c r="O144" i="28"/>
  <c r="M144" i="28"/>
  <c r="P143" i="28"/>
  <c r="O143" i="28"/>
  <c r="M143" i="28"/>
  <c r="P142" i="28"/>
  <c r="O142" i="28"/>
  <c r="M142" i="28"/>
  <c r="P141" i="28"/>
  <c r="O141" i="28"/>
  <c r="M141" i="28"/>
  <c r="P140" i="28"/>
  <c r="O140" i="28"/>
  <c r="M140" i="28"/>
  <c r="P139" i="28"/>
  <c r="O139" i="28"/>
  <c r="M139" i="28"/>
  <c r="P138" i="28"/>
  <c r="O138" i="28"/>
  <c r="M138" i="28"/>
  <c r="P137" i="28"/>
  <c r="O137" i="28"/>
  <c r="M137" i="28"/>
  <c r="P136" i="28"/>
  <c r="O136" i="28"/>
  <c r="M136" i="28"/>
  <c r="P135" i="28"/>
  <c r="O135" i="28"/>
  <c r="M135" i="28"/>
  <c r="P134" i="28"/>
  <c r="O134" i="28"/>
  <c r="M134" i="28"/>
  <c r="P133" i="28"/>
  <c r="O133" i="28"/>
  <c r="M133" i="28"/>
  <c r="P132" i="28"/>
  <c r="O132" i="28"/>
  <c r="M132" i="28"/>
  <c r="P131" i="28"/>
  <c r="O131" i="28"/>
  <c r="M131" i="28"/>
  <c r="O130" i="28"/>
  <c r="M130" i="28"/>
  <c r="O129" i="28"/>
  <c r="M129" i="28"/>
  <c r="O128" i="28"/>
  <c r="P128" i="28" s="1"/>
  <c r="M128" i="28"/>
  <c r="O127" i="28"/>
  <c r="P127" i="28" s="1"/>
  <c r="M127" i="28"/>
  <c r="O126" i="28"/>
  <c r="M126" i="28"/>
  <c r="O125" i="28"/>
  <c r="M125" i="28"/>
  <c r="O124" i="28"/>
  <c r="P124" i="28" s="1"/>
  <c r="M124" i="28"/>
  <c r="O123" i="28"/>
  <c r="P123" i="28" s="1"/>
  <c r="M123" i="28"/>
  <c r="O122" i="28"/>
  <c r="M122" i="28"/>
  <c r="O121" i="28"/>
  <c r="M121" i="28"/>
  <c r="O120" i="28"/>
  <c r="P120" i="28" s="1"/>
  <c r="M120" i="28"/>
  <c r="O119" i="28"/>
  <c r="M119" i="28"/>
  <c r="O118" i="28"/>
  <c r="M118" i="28"/>
  <c r="O117" i="28"/>
  <c r="M117" i="28"/>
  <c r="O116" i="28"/>
  <c r="P116" i="28" s="1"/>
  <c r="M116" i="28"/>
  <c r="O115" i="28"/>
  <c r="M115" i="28"/>
  <c r="O114" i="28"/>
  <c r="M114" i="28"/>
  <c r="O113" i="28"/>
  <c r="M113" i="28"/>
  <c r="O112" i="28"/>
  <c r="M112" i="28"/>
  <c r="O111" i="28"/>
  <c r="P111" i="28" s="1"/>
  <c r="M111" i="28"/>
  <c r="O110" i="28"/>
  <c r="M110" i="28"/>
  <c r="O109" i="28"/>
  <c r="M109" i="28"/>
  <c r="O108" i="28"/>
  <c r="P108" i="28" s="1"/>
  <c r="M108" i="28"/>
  <c r="O107" i="28"/>
  <c r="M107" i="28"/>
  <c r="O106" i="28"/>
  <c r="M106" i="28"/>
  <c r="O105" i="28"/>
  <c r="M105" i="28"/>
  <c r="O104" i="28"/>
  <c r="M104" i="28"/>
  <c r="O103" i="28"/>
  <c r="M103" i="28"/>
  <c r="O102" i="28"/>
  <c r="M102" i="28"/>
  <c r="D96" i="28"/>
  <c r="D94" i="28"/>
  <c r="L93" i="28"/>
  <c r="J93" i="28"/>
  <c r="C99" i="28"/>
  <c r="D92" i="28"/>
  <c r="D91" i="28"/>
  <c r="D89" i="28"/>
  <c r="N72" i="28"/>
  <c r="O72" i="28"/>
  <c r="L72" i="28"/>
  <c r="N71" i="28"/>
  <c r="L71" i="28"/>
  <c r="N70" i="28"/>
  <c r="O70" i="28" s="1"/>
  <c r="L70" i="28"/>
  <c r="N69" i="28"/>
  <c r="L69" i="28"/>
  <c r="N68" i="28"/>
  <c r="L68" i="28"/>
  <c r="O68" i="28" s="1"/>
  <c r="N67" i="28"/>
  <c r="L67" i="28"/>
  <c r="N66" i="28"/>
  <c r="L66" i="28"/>
  <c r="N65" i="28"/>
  <c r="L65" i="28"/>
  <c r="N64" i="28"/>
  <c r="O64" i="28" s="1"/>
  <c r="L64" i="28"/>
  <c r="N63" i="28"/>
  <c r="L63" i="28"/>
  <c r="N62" i="28"/>
  <c r="L62" i="28"/>
  <c r="N61" i="28"/>
  <c r="O61" i="28" s="1"/>
  <c r="L61" i="28"/>
  <c r="N60" i="28"/>
  <c r="L60" i="28"/>
  <c r="N59" i="28"/>
  <c r="L59" i="28"/>
  <c r="N58" i="28"/>
  <c r="L58" i="28"/>
  <c r="N57" i="28"/>
  <c r="L57" i="28"/>
  <c r="N56" i="28"/>
  <c r="L56" i="28"/>
  <c r="N55" i="28"/>
  <c r="L55" i="28"/>
  <c r="N54" i="28"/>
  <c r="L54" i="28"/>
  <c r="N53" i="28"/>
  <c r="L53" i="28"/>
  <c r="N52" i="28"/>
  <c r="O52" i="28"/>
  <c r="L52" i="28"/>
  <c r="N51" i="28"/>
  <c r="L51" i="28"/>
  <c r="N50" i="28"/>
  <c r="O50" i="28" s="1"/>
  <c r="L50" i="28"/>
  <c r="N49" i="28"/>
  <c r="L49" i="28"/>
  <c r="N48" i="28"/>
  <c r="L48" i="28"/>
  <c r="O48" i="28" s="1"/>
  <c r="N47" i="28"/>
  <c r="O47" i="28" s="1"/>
  <c r="L47" i="28"/>
  <c r="N46" i="28"/>
  <c r="L46" i="28"/>
  <c r="N45" i="28"/>
  <c r="L45" i="28"/>
  <c r="O45" i="28" s="1"/>
  <c r="N44" i="28"/>
  <c r="L44" i="28"/>
  <c r="N43" i="28"/>
  <c r="L43" i="28"/>
  <c r="N42" i="28"/>
  <c r="L42" i="28"/>
  <c r="N41" i="28"/>
  <c r="L41" i="28"/>
  <c r="N40" i="28"/>
  <c r="L40" i="28"/>
  <c r="N39" i="28"/>
  <c r="L39" i="28"/>
  <c r="N38" i="28"/>
  <c r="O38" i="28" s="1"/>
  <c r="L38" i="28"/>
  <c r="N37" i="28"/>
  <c r="O37" i="28" s="1"/>
  <c r="L37" i="28"/>
  <c r="N36" i="28"/>
  <c r="O36" i="28" s="1"/>
  <c r="L36" i="28"/>
  <c r="N35" i="28"/>
  <c r="L35" i="28"/>
  <c r="N34" i="28"/>
  <c r="L34" i="28"/>
  <c r="N33" i="28"/>
  <c r="L33" i="28"/>
  <c r="N32" i="28"/>
  <c r="O32" i="28"/>
  <c r="L32" i="28"/>
  <c r="N31" i="28"/>
  <c r="L31" i="28"/>
  <c r="N30" i="28"/>
  <c r="L30" i="28"/>
  <c r="N29" i="28"/>
  <c r="L29" i="28"/>
  <c r="N28" i="28"/>
  <c r="L28" i="28"/>
  <c r="N27" i="28"/>
  <c r="L27" i="28"/>
  <c r="N26" i="28"/>
  <c r="O26" i="28" s="1"/>
  <c r="L26" i="28"/>
  <c r="N25" i="28"/>
  <c r="L25" i="28"/>
  <c r="N24" i="28"/>
  <c r="O24" i="28"/>
  <c r="L24" i="28"/>
  <c r="N23" i="28"/>
  <c r="O23" i="28" s="1"/>
  <c r="L23" i="28"/>
  <c r="N22" i="28"/>
  <c r="L22" i="28"/>
  <c r="C17" i="28"/>
  <c r="C18" i="28"/>
  <c r="C19" i="28" s="1"/>
  <c r="C20" i="28" s="1"/>
  <c r="C21" i="28" s="1"/>
  <c r="C22" i="28" s="1"/>
  <c r="C23" i="28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43" i="28" s="1"/>
  <c r="C44" i="28" s="1"/>
  <c r="K11" i="28"/>
  <c r="I11" i="28"/>
  <c r="D94" i="27"/>
  <c r="D92" i="27"/>
  <c r="M17" i="27"/>
  <c r="N17" i="27"/>
  <c r="K17" i="27"/>
  <c r="L17" i="27" s="1"/>
  <c r="N101" i="25"/>
  <c r="O101" i="25" s="1"/>
  <c r="L101" i="25"/>
  <c r="M101" i="25" s="1"/>
  <c r="N100" i="25"/>
  <c r="O100" i="25"/>
  <c r="P100" i="25" s="1"/>
  <c r="L100" i="25"/>
  <c r="M100" i="25" s="1"/>
  <c r="N99" i="25"/>
  <c r="O99" i="25"/>
  <c r="L99" i="25"/>
  <c r="M99" i="25"/>
  <c r="M20" i="25"/>
  <c r="N20" i="25" s="1"/>
  <c r="K20" i="25"/>
  <c r="L20" i="25" s="1"/>
  <c r="D92" i="24"/>
  <c r="N100" i="23"/>
  <c r="O100" i="23" s="1"/>
  <c r="L100" i="23"/>
  <c r="M100" i="23" s="1"/>
  <c r="M19" i="23"/>
  <c r="N19" i="23" s="1"/>
  <c r="O19" i="23" s="1"/>
  <c r="K19" i="23"/>
  <c r="L19" i="23" s="1"/>
  <c r="N101" i="22"/>
  <c r="O101" i="22"/>
  <c r="L101" i="22"/>
  <c r="M101" i="22" s="1"/>
  <c r="M20" i="22"/>
  <c r="N20" i="22" s="1"/>
  <c r="K20" i="22"/>
  <c r="L20" i="22" s="1"/>
  <c r="N104" i="11"/>
  <c r="O104" i="11"/>
  <c r="L104" i="11"/>
  <c r="M104" i="11" s="1"/>
  <c r="M23" i="11"/>
  <c r="N23" i="11" s="1"/>
  <c r="K23" i="11"/>
  <c r="L23" i="11" s="1"/>
  <c r="N105" i="10"/>
  <c r="O105" i="10" s="1"/>
  <c r="L105" i="10"/>
  <c r="M105" i="10" s="1"/>
  <c r="M24" i="10"/>
  <c r="N24" i="10"/>
  <c r="K24" i="10"/>
  <c r="L24" i="10"/>
  <c r="N104" i="9"/>
  <c r="O104" i="9" s="1"/>
  <c r="P104" i="9" s="1"/>
  <c r="L104" i="9"/>
  <c r="M104" i="9"/>
  <c r="M23" i="9"/>
  <c r="N23" i="9" s="1"/>
  <c r="K23" i="9"/>
  <c r="L23" i="9"/>
  <c r="N103" i="8"/>
  <c r="O103" i="8" s="1"/>
  <c r="L103" i="8"/>
  <c r="M103" i="8"/>
  <c r="M22" i="8"/>
  <c r="N22" i="8" s="1"/>
  <c r="K22" i="8"/>
  <c r="L22" i="8"/>
  <c r="N105" i="7"/>
  <c r="O105" i="7" s="1"/>
  <c r="L105" i="7"/>
  <c r="M105" i="7"/>
  <c r="M24" i="7"/>
  <c r="N24" i="7" s="1"/>
  <c r="K24" i="7"/>
  <c r="L24" i="7" s="1"/>
  <c r="N103" i="6"/>
  <c r="O103" i="6" s="1"/>
  <c r="L103" i="6"/>
  <c r="M103" i="6"/>
  <c r="M22" i="6"/>
  <c r="N22" i="6"/>
  <c r="K22" i="6"/>
  <c r="L22" i="6" s="1"/>
  <c r="M21" i="5"/>
  <c r="N21" i="5" s="1"/>
  <c r="K21" i="5"/>
  <c r="L21" i="5"/>
  <c r="N102" i="4"/>
  <c r="O102" i="4"/>
  <c r="L102" i="4"/>
  <c r="M102" i="4" s="1"/>
  <c r="M21" i="4"/>
  <c r="N21" i="4" s="1"/>
  <c r="K21" i="4"/>
  <c r="L21" i="4"/>
  <c r="N102" i="3"/>
  <c r="O102" i="3"/>
  <c r="L102" i="3"/>
  <c r="M102" i="3" s="1"/>
  <c r="M21" i="3"/>
  <c r="N21" i="3" s="1"/>
  <c r="O21" i="3" s="1"/>
  <c r="K21" i="3"/>
  <c r="L21" i="3" s="1"/>
  <c r="P86" i="6"/>
  <c r="O5" i="6"/>
  <c r="P87" i="6" s="1"/>
  <c r="J153" i="25"/>
  <c r="J154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M19" i="25"/>
  <c r="N19" i="25" s="1"/>
  <c r="M18" i="25"/>
  <c r="N18" i="25"/>
  <c r="K19" i="25"/>
  <c r="K18" i="25"/>
  <c r="I19" i="25"/>
  <c r="C17" i="25"/>
  <c r="C18" i="25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C17" i="24"/>
  <c r="C18" i="24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W31" i="17"/>
  <c r="P31" i="17"/>
  <c r="P154" i="27"/>
  <c r="O154" i="27"/>
  <c r="M154" i="27"/>
  <c r="P153" i="27"/>
  <c r="O153" i="27"/>
  <c r="M153" i="27"/>
  <c r="P152" i="27"/>
  <c r="O152" i="27"/>
  <c r="M152" i="27"/>
  <c r="P151" i="27"/>
  <c r="O151" i="27"/>
  <c r="M151" i="27"/>
  <c r="P150" i="27"/>
  <c r="O150" i="27"/>
  <c r="M150" i="27"/>
  <c r="P149" i="27"/>
  <c r="O149" i="27"/>
  <c r="M149" i="27"/>
  <c r="P148" i="27"/>
  <c r="O148" i="27"/>
  <c r="M148" i="27"/>
  <c r="P147" i="27"/>
  <c r="O147" i="27"/>
  <c r="M147" i="27"/>
  <c r="P146" i="27"/>
  <c r="O146" i="27"/>
  <c r="M146" i="27"/>
  <c r="P145" i="27"/>
  <c r="O145" i="27"/>
  <c r="M145" i="27"/>
  <c r="P144" i="27"/>
  <c r="O144" i="27"/>
  <c r="M144" i="27"/>
  <c r="P143" i="27"/>
  <c r="O143" i="27"/>
  <c r="M143" i="27"/>
  <c r="P142" i="27"/>
  <c r="O142" i="27"/>
  <c r="M142" i="27"/>
  <c r="P141" i="27"/>
  <c r="O141" i="27"/>
  <c r="M141" i="27"/>
  <c r="P140" i="27"/>
  <c r="O140" i="27"/>
  <c r="M140" i="27"/>
  <c r="P139" i="27"/>
  <c r="O139" i="27"/>
  <c r="M139" i="27"/>
  <c r="P138" i="27"/>
  <c r="O138" i="27"/>
  <c r="M138" i="27"/>
  <c r="P137" i="27"/>
  <c r="O137" i="27"/>
  <c r="M137" i="27"/>
  <c r="P136" i="27"/>
  <c r="O136" i="27"/>
  <c r="M136" i="27"/>
  <c r="P135" i="27"/>
  <c r="O135" i="27"/>
  <c r="M135" i="27"/>
  <c r="P134" i="27"/>
  <c r="O134" i="27"/>
  <c r="M134" i="27"/>
  <c r="P133" i="27"/>
  <c r="O133" i="27"/>
  <c r="M133" i="27"/>
  <c r="P132" i="27"/>
  <c r="O132" i="27"/>
  <c r="M132" i="27"/>
  <c r="P131" i="27"/>
  <c r="O131" i="27"/>
  <c r="M131" i="27"/>
  <c r="O130" i="27"/>
  <c r="M130" i="27"/>
  <c r="P130" i="27" s="1"/>
  <c r="O129" i="27"/>
  <c r="M129" i="27"/>
  <c r="O128" i="27"/>
  <c r="M128" i="27"/>
  <c r="O127" i="27"/>
  <c r="P127" i="27" s="1"/>
  <c r="M127" i="27"/>
  <c r="O126" i="27"/>
  <c r="M126" i="27"/>
  <c r="P126" i="27" s="1"/>
  <c r="O125" i="27"/>
  <c r="M125" i="27"/>
  <c r="O124" i="27"/>
  <c r="M124" i="27"/>
  <c r="O123" i="27"/>
  <c r="M123" i="27"/>
  <c r="O122" i="27"/>
  <c r="M122" i="27"/>
  <c r="P122" i="27" s="1"/>
  <c r="O121" i="27"/>
  <c r="M121" i="27"/>
  <c r="P121" i="27" s="1"/>
  <c r="O120" i="27"/>
  <c r="M120" i="27"/>
  <c r="O119" i="27"/>
  <c r="M119" i="27"/>
  <c r="P119" i="27" s="1"/>
  <c r="O118" i="27"/>
  <c r="P118" i="27" s="1"/>
  <c r="M118" i="27"/>
  <c r="O117" i="27"/>
  <c r="M117" i="27"/>
  <c r="O116" i="27"/>
  <c r="P116" i="27" s="1"/>
  <c r="M116" i="27"/>
  <c r="O115" i="27"/>
  <c r="P115" i="27" s="1"/>
  <c r="M115" i="27"/>
  <c r="O114" i="27"/>
  <c r="P114" i="27" s="1"/>
  <c r="M114" i="27"/>
  <c r="O113" i="27"/>
  <c r="P113" i="27" s="1"/>
  <c r="M113" i="27"/>
  <c r="O112" i="27"/>
  <c r="P112" i="27" s="1"/>
  <c r="M112" i="27"/>
  <c r="O111" i="27"/>
  <c r="P111" i="27" s="1"/>
  <c r="M111" i="27"/>
  <c r="O110" i="27"/>
  <c r="P110" i="27" s="1"/>
  <c r="M110" i="27"/>
  <c r="O109" i="27"/>
  <c r="M109" i="27"/>
  <c r="P109" i="27"/>
  <c r="O108" i="27"/>
  <c r="M108" i="27"/>
  <c r="O107" i="27"/>
  <c r="M107" i="27"/>
  <c r="P107" i="27" s="1"/>
  <c r="O106" i="27"/>
  <c r="M106" i="27"/>
  <c r="O105" i="27"/>
  <c r="M105" i="27"/>
  <c r="O104" i="27"/>
  <c r="M104" i="27"/>
  <c r="O103" i="27"/>
  <c r="P103" i="27"/>
  <c r="M103" i="27"/>
  <c r="D96" i="27"/>
  <c r="L93" i="27"/>
  <c r="J93" i="27"/>
  <c r="D91" i="27"/>
  <c r="D89" i="27"/>
  <c r="N72" i="27"/>
  <c r="O72" i="27"/>
  <c r="L72" i="27"/>
  <c r="N71" i="27"/>
  <c r="O71" i="27" s="1"/>
  <c r="L71" i="27"/>
  <c r="N70" i="27"/>
  <c r="O70" i="27"/>
  <c r="L70" i="27"/>
  <c r="N69" i="27"/>
  <c r="O69" i="27" s="1"/>
  <c r="L69" i="27"/>
  <c r="N68" i="27"/>
  <c r="L68" i="27"/>
  <c r="N67" i="27"/>
  <c r="O67" i="27" s="1"/>
  <c r="L67" i="27"/>
  <c r="N66" i="27"/>
  <c r="L66" i="27"/>
  <c r="N65" i="27"/>
  <c r="L65" i="27"/>
  <c r="N64" i="27"/>
  <c r="L64" i="27"/>
  <c r="N63" i="27"/>
  <c r="L63" i="27"/>
  <c r="N62" i="27"/>
  <c r="L62" i="27"/>
  <c r="N61" i="27"/>
  <c r="L61" i="27"/>
  <c r="N60" i="27"/>
  <c r="L60" i="27"/>
  <c r="N59" i="27"/>
  <c r="L59" i="27"/>
  <c r="N58" i="27"/>
  <c r="L58" i="27"/>
  <c r="N57" i="27"/>
  <c r="L57" i="27"/>
  <c r="N56" i="27"/>
  <c r="L56" i="27"/>
  <c r="N55" i="27"/>
  <c r="L55" i="27"/>
  <c r="N54" i="27"/>
  <c r="L54" i="27"/>
  <c r="N53" i="27"/>
  <c r="O53" i="27" s="1"/>
  <c r="L53" i="27"/>
  <c r="N52" i="27"/>
  <c r="L52" i="27"/>
  <c r="N51" i="27"/>
  <c r="L51" i="27"/>
  <c r="N50" i="27"/>
  <c r="O50" i="27"/>
  <c r="L50" i="27"/>
  <c r="N49" i="27"/>
  <c r="L49" i="27"/>
  <c r="N48" i="27"/>
  <c r="L48" i="27"/>
  <c r="N47" i="27"/>
  <c r="L47" i="27"/>
  <c r="N46" i="27"/>
  <c r="L46" i="27"/>
  <c r="N45" i="27"/>
  <c r="L45" i="27"/>
  <c r="N44" i="27"/>
  <c r="L44" i="27"/>
  <c r="N43" i="27"/>
  <c r="L43" i="27"/>
  <c r="N42" i="27"/>
  <c r="L42" i="27"/>
  <c r="N41" i="27"/>
  <c r="L41" i="27"/>
  <c r="O41" i="27" s="1"/>
  <c r="N40" i="27"/>
  <c r="L40" i="27"/>
  <c r="N39" i="27"/>
  <c r="L39" i="27"/>
  <c r="N38" i="27"/>
  <c r="L38" i="27"/>
  <c r="N37" i="27"/>
  <c r="L37" i="27"/>
  <c r="N36" i="27"/>
  <c r="L36" i="27"/>
  <c r="N35" i="27"/>
  <c r="L35" i="27"/>
  <c r="N34" i="27"/>
  <c r="L34" i="27"/>
  <c r="N33" i="27"/>
  <c r="L33" i="27"/>
  <c r="N32" i="27"/>
  <c r="L32" i="27"/>
  <c r="N31" i="27"/>
  <c r="L31" i="27"/>
  <c r="N30" i="27"/>
  <c r="L30" i="27"/>
  <c r="N29" i="27"/>
  <c r="L29" i="27"/>
  <c r="N28" i="27"/>
  <c r="O28" i="27"/>
  <c r="L28" i="27"/>
  <c r="N27" i="27"/>
  <c r="L27" i="27"/>
  <c r="N26" i="27"/>
  <c r="L26" i="27"/>
  <c r="N25" i="27"/>
  <c r="L25" i="27"/>
  <c r="N24" i="27"/>
  <c r="L24" i="27"/>
  <c r="N23" i="27"/>
  <c r="L23" i="27"/>
  <c r="C17" i="27"/>
  <c r="C18" i="27"/>
  <c r="C19" i="27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K11" i="27"/>
  <c r="I11" i="27"/>
  <c r="M17" i="25"/>
  <c r="N17" i="25" s="1"/>
  <c r="K17" i="25"/>
  <c r="L17" i="25"/>
  <c r="M17" i="24"/>
  <c r="N17" i="24" s="1"/>
  <c r="O17" i="24" s="1"/>
  <c r="K17" i="24"/>
  <c r="N99" i="23"/>
  <c r="O99" i="23" s="1"/>
  <c r="L99" i="23"/>
  <c r="M18" i="23"/>
  <c r="K18" i="23"/>
  <c r="N100" i="22"/>
  <c r="L100" i="22"/>
  <c r="M100" i="22" s="1"/>
  <c r="M19" i="22"/>
  <c r="K19" i="22"/>
  <c r="N103" i="11"/>
  <c r="L103" i="11"/>
  <c r="M22" i="11"/>
  <c r="K22" i="11"/>
  <c r="N104" i="10"/>
  <c r="L104" i="10"/>
  <c r="M23" i="10"/>
  <c r="K23" i="10"/>
  <c r="N103" i="9"/>
  <c r="L103" i="9"/>
  <c r="M22" i="9"/>
  <c r="K22" i="9"/>
  <c r="N102" i="8"/>
  <c r="L102" i="8"/>
  <c r="M102" i="8"/>
  <c r="M21" i="8"/>
  <c r="K21" i="8"/>
  <c r="N104" i="7"/>
  <c r="L104" i="7"/>
  <c r="M23" i="7"/>
  <c r="K23" i="7"/>
  <c r="N102" i="6"/>
  <c r="L102" i="6"/>
  <c r="M21" i="6"/>
  <c r="K21" i="6"/>
  <c r="N101" i="5"/>
  <c r="L101" i="5"/>
  <c r="M20" i="5"/>
  <c r="K20" i="5"/>
  <c r="N101" i="4"/>
  <c r="L101" i="4"/>
  <c r="M20" i="4"/>
  <c r="K20" i="4"/>
  <c r="N101" i="3"/>
  <c r="L101" i="3"/>
  <c r="M20" i="3"/>
  <c r="K20" i="3"/>
  <c r="F81" i="2"/>
  <c r="F87" i="2"/>
  <c r="F86" i="2"/>
  <c r="F90" i="2"/>
  <c r="C17" i="3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K19" i="3"/>
  <c r="P18" i="17"/>
  <c r="P47" i="17" s="1"/>
  <c r="C17" i="4"/>
  <c r="C18" i="4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K19" i="4"/>
  <c r="P19" i="17"/>
  <c r="C17" i="5"/>
  <c r="C18" i="5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K19" i="5"/>
  <c r="P20" i="17"/>
  <c r="C17" i="6"/>
  <c r="C18" i="6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K20" i="6"/>
  <c r="P21" i="17"/>
  <c r="C17" i="7"/>
  <c r="C18" i="7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/>
  <c r="C37" i="7" s="1"/>
  <c r="C38" i="7" s="1"/>
  <c r="C39" i="7" s="1"/>
  <c r="C40" i="7" s="1"/>
  <c r="C41" i="7" s="1"/>
  <c r="C42" i="7" s="1"/>
  <c r="C43" i="7" s="1"/>
  <c r="C44" i="7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K22" i="7"/>
  <c r="P22" i="17"/>
  <c r="C17" i="8"/>
  <c r="C18" i="8"/>
  <c r="C19" i="8" s="1"/>
  <c r="C20" i="8" s="1"/>
  <c r="C21" i="8" s="1"/>
  <c r="C22" i="8" s="1"/>
  <c r="C23" i="8" s="1"/>
  <c r="C24" i="8" s="1"/>
  <c r="C25" i="8" s="1"/>
  <c r="C26" i="8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K20" i="8"/>
  <c r="P23" i="17"/>
  <c r="C17" i="9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K21" i="9"/>
  <c r="P24" i="17"/>
  <c r="C17" i="10"/>
  <c r="C18" i="10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K22" i="10"/>
  <c r="P25" i="17"/>
  <c r="C17" i="11"/>
  <c r="C18" i="11"/>
  <c r="C19" i="11" s="1"/>
  <c r="C20" i="1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K21" i="11"/>
  <c r="P26" i="17"/>
  <c r="C17" i="22"/>
  <c r="C18" i="22"/>
  <c r="C19" i="22" s="1"/>
  <c r="C20" i="22"/>
  <c r="C21" i="22" s="1"/>
  <c r="C22" i="22"/>
  <c r="C23" i="22" s="1"/>
  <c r="C24" i="22" s="1"/>
  <c r="C25" i="22" s="1"/>
  <c r="C26" i="22" s="1"/>
  <c r="C27" i="22" s="1"/>
  <c r="C28" i="22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K18" i="22"/>
  <c r="P27" i="17"/>
  <c r="C17" i="23"/>
  <c r="C18" i="23"/>
  <c r="C19" i="23" s="1"/>
  <c r="C20" i="23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K17" i="23"/>
  <c r="P28" i="17"/>
  <c r="P29" i="17"/>
  <c r="P30" i="17"/>
  <c r="W29" i="17"/>
  <c r="W30" i="17"/>
  <c r="C17" i="13"/>
  <c r="F17" i="13"/>
  <c r="M19" i="3"/>
  <c r="M19" i="4"/>
  <c r="M19" i="5"/>
  <c r="M20" i="6"/>
  <c r="M22" i="7"/>
  <c r="M20" i="8"/>
  <c r="M21" i="9"/>
  <c r="M22" i="10"/>
  <c r="M21" i="11"/>
  <c r="M18" i="22"/>
  <c r="M17" i="23"/>
  <c r="F81" i="1"/>
  <c r="F87" i="1"/>
  <c r="F90" i="1"/>
  <c r="P1" i="25"/>
  <c r="P83" i="25" s="1"/>
  <c r="I11" i="25"/>
  <c r="K11" i="25"/>
  <c r="L18" i="25"/>
  <c r="L19" i="25"/>
  <c r="L26" i="25"/>
  <c r="N26" i="25"/>
  <c r="L27" i="25"/>
  <c r="N27" i="25"/>
  <c r="O27" i="25" s="1"/>
  <c r="L28" i="25"/>
  <c r="N28" i="25"/>
  <c r="L29" i="25"/>
  <c r="N29" i="25"/>
  <c r="L30" i="25"/>
  <c r="N30" i="25"/>
  <c r="L31" i="25"/>
  <c r="N31" i="25"/>
  <c r="L32" i="25"/>
  <c r="O32" i="25"/>
  <c r="N32" i="25"/>
  <c r="L33" i="25"/>
  <c r="N33" i="25"/>
  <c r="L34" i="25"/>
  <c r="O34" i="25"/>
  <c r="N34" i="25"/>
  <c r="L35" i="25"/>
  <c r="N35" i="25"/>
  <c r="O35" i="25" s="1"/>
  <c r="L36" i="25"/>
  <c r="N36" i="25"/>
  <c r="L37" i="25"/>
  <c r="N37" i="25"/>
  <c r="O37" i="25" s="1"/>
  <c r="L38" i="25"/>
  <c r="N38" i="25"/>
  <c r="L39" i="25"/>
  <c r="N39" i="25"/>
  <c r="O39" i="25" s="1"/>
  <c r="L40" i="25"/>
  <c r="N40" i="25"/>
  <c r="L41" i="25"/>
  <c r="N41" i="25"/>
  <c r="O41" i="25"/>
  <c r="L42" i="25"/>
  <c r="N42" i="25"/>
  <c r="L43" i="25"/>
  <c r="N43" i="25"/>
  <c r="O43" i="25" s="1"/>
  <c r="L44" i="25"/>
  <c r="N44" i="25"/>
  <c r="L45" i="25"/>
  <c r="N45" i="25"/>
  <c r="O45" i="25" s="1"/>
  <c r="L46" i="25"/>
  <c r="N46" i="25"/>
  <c r="O46" i="25"/>
  <c r="L47" i="25"/>
  <c r="N47" i="25"/>
  <c r="O47" i="25"/>
  <c r="L48" i="25"/>
  <c r="N48" i="25"/>
  <c r="L49" i="25"/>
  <c r="N49" i="25"/>
  <c r="L50" i="25"/>
  <c r="N50" i="25"/>
  <c r="L51" i="25"/>
  <c r="N51" i="25"/>
  <c r="L52" i="25"/>
  <c r="N52" i="25"/>
  <c r="L53" i="25"/>
  <c r="N53" i="25"/>
  <c r="L54" i="25"/>
  <c r="N54" i="25"/>
  <c r="L55" i="25"/>
  <c r="N55" i="25"/>
  <c r="L56" i="25"/>
  <c r="N56" i="25"/>
  <c r="L57" i="25"/>
  <c r="N57" i="25"/>
  <c r="L58" i="25"/>
  <c r="N58" i="25"/>
  <c r="L59" i="25"/>
  <c r="N59" i="25"/>
  <c r="L60" i="25"/>
  <c r="N60" i="25"/>
  <c r="L61" i="25"/>
  <c r="N61" i="25"/>
  <c r="O61" i="25"/>
  <c r="L62" i="25"/>
  <c r="N62" i="25"/>
  <c r="L63" i="25"/>
  <c r="O63" i="25" s="1"/>
  <c r="N63" i="25"/>
  <c r="L64" i="25"/>
  <c r="N64" i="25"/>
  <c r="O64" i="25"/>
  <c r="L65" i="25"/>
  <c r="N65" i="25"/>
  <c r="L66" i="25"/>
  <c r="N66" i="25"/>
  <c r="L67" i="25"/>
  <c r="N67" i="25"/>
  <c r="L68" i="25"/>
  <c r="N68" i="25"/>
  <c r="L69" i="25"/>
  <c r="N69" i="25"/>
  <c r="L70" i="25"/>
  <c r="N70" i="25"/>
  <c r="L71" i="25"/>
  <c r="N71" i="25"/>
  <c r="O71" i="25" s="1"/>
  <c r="L72" i="25"/>
  <c r="N72" i="25"/>
  <c r="O72" i="25"/>
  <c r="D89" i="25"/>
  <c r="D90" i="25"/>
  <c r="D91" i="25"/>
  <c r="J93" i="25"/>
  <c r="L93" i="25"/>
  <c r="D96" i="25"/>
  <c r="M106" i="25"/>
  <c r="O106" i="25"/>
  <c r="P106" i="25" s="1"/>
  <c r="M107" i="25"/>
  <c r="O107" i="25"/>
  <c r="M108" i="25"/>
  <c r="O108" i="25"/>
  <c r="P108" i="25" s="1"/>
  <c r="M109" i="25"/>
  <c r="O109" i="25"/>
  <c r="P109" i="25" s="1"/>
  <c r="M110" i="25"/>
  <c r="P110" i="25"/>
  <c r="O110" i="25"/>
  <c r="M111" i="25"/>
  <c r="O111" i="25"/>
  <c r="M112" i="25"/>
  <c r="O112" i="25"/>
  <c r="M113" i="25"/>
  <c r="O113" i="25"/>
  <c r="M114" i="25"/>
  <c r="O114" i="25"/>
  <c r="M115" i="25"/>
  <c r="P115" i="25" s="1"/>
  <c r="O115" i="25"/>
  <c r="M116" i="25"/>
  <c r="O116" i="25"/>
  <c r="P116" i="25" s="1"/>
  <c r="M117" i="25"/>
  <c r="P117" i="25" s="1"/>
  <c r="O117" i="25"/>
  <c r="M118" i="25"/>
  <c r="O118" i="25"/>
  <c r="M119" i="25"/>
  <c r="O119" i="25"/>
  <c r="M120" i="25"/>
  <c r="O120" i="25"/>
  <c r="P120" i="25" s="1"/>
  <c r="M121" i="25"/>
  <c r="P121" i="25" s="1"/>
  <c r="O121" i="25"/>
  <c r="M122" i="25"/>
  <c r="O122" i="25"/>
  <c r="P122" i="25" s="1"/>
  <c r="M123" i="25"/>
  <c r="P123" i="25" s="1"/>
  <c r="O123" i="25"/>
  <c r="M124" i="25"/>
  <c r="O124" i="25"/>
  <c r="P124" i="25" s="1"/>
  <c r="M125" i="25"/>
  <c r="P125" i="25" s="1"/>
  <c r="O125" i="25"/>
  <c r="M126" i="25"/>
  <c r="O126" i="25"/>
  <c r="M127" i="25"/>
  <c r="P127" i="25" s="1"/>
  <c r="O127" i="25"/>
  <c r="M128" i="25"/>
  <c r="O128" i="25"/>
  <c r="M129" i="25"/>
  <c r="O129" i="25"/>
  <c r="M130" i="25"/>
  <c r="O130" i="25"/>
  <c r="P130" i="25"/>
  <c r="M131" i="25"/>
  <c r="O131" i="25"/>
  <c r="P131" i="25"/>
  <c r="M132" i="25"/>
  <c r="O132" i="25"/>
  <c r="P132" i="25"/>
  <c r="M133" i="25"/>
  <c r="O133" i="25"/>
  <c r="P133" i="25"/>
  <c r="M134" i="25"/>
  <c r="O134" i="25"/>
  <c r="P134" i="25"/>
  <c r="M135" i="25"/>
  <c r="O135" i="25"/>
  <c r="P135" i="25"/>
  <c r="M136" i="25"/>
  <c r="O136" i="25"/>
  <c r="P136" i="25"/>
  <c r="M137" i="25"/>
  <c r="O137" i="25"/>
  <c r="P137" i="25"/>
  <c r="M138" i="25"/>
  <c r="O138" i="25"/>
  <c r="P138" i="25"/>
  <c r="M139" i="25"/>
  <c r="O139" i="25"/>
  <c r="P139" i="25"/>
  <c r="M140" i="25"/>
  <c r="O140" i="25"/>
  <c r="P140" i="25"/>
  <c r="M141" i="25"/>
  <c r="O141" i="25"/>
  <c r="P141" i="25"/>
  <c r="M142" i="25"/>
  <c r="O142" i="25"/>
  <c r="P142" i="25"/>
  <c r="M143" i="25"/>
  <c r="O143" i="25"/>
  <c r="P143" i="25"/>
  <c r="M144" i="25"/>
  <c r="O144" i="25"/>
  <c r="P144" i="25"/>
  <c r="M145" i="25"/>
  <c r="O145" i="25"/>
  <c r="P145" i="25"/>
  <c r="M146" i="25"/>
  <c r="O146" i="25"/>
  <c r="P146" i="25"/>
  <c r="M147" i="25"/>
  <c r="O147" i="25"/>
  <c r="P147" i="25"/>
  <c r="M148" i="25"/>
  <c r="O148" i="25"/>
  <c r="P148" i="25"/>
  <c r="M149" i="25"/>
  <c r="O149" i="25"/>
  <c r="P149" i="25"/>
  <c r="M150" i="25"/>
  <c r="O150" i="25"/>
  <c r="P150" i="25"/>
  <c r="M151" i="25"/>
  <c r="O151" i="25"/>
  <c r="P151" i="25"/>
  <c r="M152" i="25"/>
  <c r="O152" i="25"/>
  <c r="P152" i="25"/>
  <c r="M153" i="25"/>
  <c r="O153" i="25"/>
  <c r="P153" i="25"/>
  <c r="M154" i="25"/>
  <c r="O154" i="25"/>
  <c r="P154" i="25"/>
  <c r="N99" i="22"/>
  <c r="L99" i="22"/>
  <c r="N102" i="11"/>
  <c r="L102" i="11"/>
  <c r="N103" i="10"/>
  <c r="L103" i="10"/>
  <c r="N102" i="9"/>
  <c r="L102" i="9"/>
  <c r="M102" i="9" s="1"/>
  <c r="N101" i="8"/>
  <c r="L101" i="8"/>
  <c r="N103" i="7"/>
  <c r="L103" i="7"/>
  <c r="N101" i="6"/>
  <c r="L101" i="6"/>
  <c r="N100" i="5"/>
  <c r="L100" i="5"/>
  <c r="M100" i="5"/>
  <c r="N100" i="4"/>
  <c r="L100" i="4"/>
  <c r="P1" i="24"/>
  <c r="P83" i="24" s="1"/>
  <c r="I11" i="24"/>
  <c r="K11" i="24"/>
  <c r="L17" i="24"/>
  <c r="L24" i="24"/>
  <c r="N24" i="24"/>
  <c r="L25" i="24"/>
  <c r="N25" i="24"/>
  <c r="O25" i="24"/>
  <c r="L26" i="24"/>
  <c r="N26" i="24"/>
  <c r="O26" i="24" s="1"/>
  <c r="L27" i="24"/>
  <c r="N27" i="24"/>
  <c r="L28" i="24"/>
  <c r="N28" i="24"/>
  <c r="O28" i="24"/>
  <c r="L29" i="24"/>
  <c r="N29" i="24"/>
  <c r="L30" i="24"/>
  <c r="N30" i="24"/>
  <c r="O30" i="24"/>
  <c r="L31" i="24"/>
  <c r="N31" i="24"/>
  <c r="L32" i="24"/>
  <c r="N32" i="24"/>
  <c r="O32" i="24"/>
  <c r="L33" i="24"/>
  <c r="N33" i="24"/>
  <c r="L34" i="24"/>
  <c r="N34" i="24"/>
  <c r="O34" i="24" s="1"/>
  <c r="L35" i="24"/>
  <c r="N35" i="24"/>
  <c r="L36" i="24"/>
  <c r="N36" i="24"/>
  <c r="L37" i="24"/>
  <c r="N37" i="24"/>
  <c r="L38" i="24"/>
  <c r="N38" i="24"/>
  <c r="O38" i="24"/>
  <c r="L39" i="24"/>
  <c r="N39" i="24"/>
  <c r="L40" i="24"/>
  <c r="N40" i="24"/>
  <c r="O40" i="24"/>
  <c r="L41" i="24"/>
  <c r="N41" i="24"/>
  <c r="L42" i="24"/>
  <c r="N42" i="24"/>
  <c r="L43" i="24"/>
  <c r="O43" i="24" s="1"/>
  <c r="N43" i="24"/>
  <c r="L44" i="24"/>
  <c r="N44" i="24"/>
  <c r="O44" i="24" s="1"/>
  <c r="L45" i="24"/>
  <c r="N45" i="24"/>
  <c r="L46" i="24"/>
  <c r="O46" i="24" s="1"/>
  <c r="N46" i="24"/>
  <c r="L47" i="24"/>
  <c r="N47" i="24"/>
  <c r="L48" i="24"/>
  <c r="N48" i="24"/>
  <c r="O48" i="24"/>
  <c r="L49" i="24"/>
  <c r="N49" i="24"/>
  <c r="L50" i="24"/>
  <c r="N50" i="24"/>
  <c r="O50" i="24" s="1"/>
  <c r="L51" i="24"/>
  <c r="N51" i="24"/>
  <c r="O51" i="24"/>
  <c r="L52" i="24"/>
  <c r="N52" i="24"/>
  <c r="L53" i="24"/>
  <c r="N53" i="24"/>
  <c r="L54" i="24"/>
  <c r="N54" i="24"/>
  <c r="O54" i="24" s="1"/>
  <c r="L55" i="24"/>
  <c r="N55" i="24"/>
  <c r="L56" i="24"/>
  <c r="N56" i="24"/>
  <c r="L57" i="24"/>
  <c r="N57" i="24"/>
  <c r="O57" i="24" s="1"/>
  <c r="L58" i="24"/>
  <c r="N58" i="24"/>
  <c r="O58" i="24"/>
  <c r="L59" i="24"/>
  <c r="N59" i="24"/>
  <c r="L60" i="24"/>
  <c r="N60" i="24"/>
  <c r="O60" i="24" s="1"/>
  <c r="L61" i="24"/>
  <c r="N61" i="24"/>
  <c r="L62" i="24"/>
  <c r="N62" i="24"/>
  <c r="L63" i="24"/>
  <c r="N63" i="24"/>
  <c r="L64" i="24"/>
  <c r="N64" i="24"/>
  <c r="L65" i="24"/>
  <c r="N65" i="24"/>
  <c r="L66" i="24"/>
  <c r="N66" i="24"/>
  <c r="L67" i="24"/>
  <c r="N67" i="24"/>
  <c r="L68" i="24"/>
  <c r="N68" i="24"/>
  <c r="L69" i="24"/>
  <c r="N69" i="24"/>
  <c r="L70" i="24"/>
  <c r="O70" i="24" s="1"/>
  <c r="N70" i="24"/>
  <c r="L71" i="24"/>
  <c r="N71" i="24"/>
  <c r="L72" i="24"/>
  <c r="N72" i="24"/>
  <c r="O72" i="24"/>
  <c r="D89" i="24"/>
  <c r="D90" i="24"/>
  <c r="D91" i="24"/>
  <c r="J93" i="24"/>
  <c r="L93" i="24"/>
  <c r="D96" i="24"/>
  <c r="M104" i="24"/>
  <c r="O104" i="24"/>
  <c r="P104" i="24" s="1"/>
  <c r="M105" i="24"/>
  <c r="O105" i="24"/>
  <c r="M106" i="24"/>
  <c r="O106" i="24"/>
  <c r="P106" i="24" s="1"/>
  <c r="M107" i="24"/>
  <c r="O107" i="24"/>
  <c r="M108" i="24"/>
  <c r="O108" i="24"/>
  <c r="P108" i="24" s="1"/>
  <c r="M109" i="24"/>
  <c r="P109" i="24" s="1"/>
  <c r="O109" i="24"/>
  <c r="M110" i="24"/>
  <c r="O110" i="24"/>
  <c r="P110" i="24"/>
  <c r="M111" i="24"/>
  <c r="O111" i="24"/>
  <c r="M112" i="24"/>
  <c r="O112" i="24"/>
  <c r="P112" i="24" s="1"/>
  <c r="M113" i="24"/>
  <c r="O113" i="24"/>
  <c r="P113" i="24" s="1"/>
  <c r="M114" i="24"/>
  <c r="O114" i="24"/>
  <c r="P114" i="24" s="1"/>
  <c r="M115" i="24"/>
  <c r="O115" i="24"/>
  <c r="M116" i="24"/>
  <c r="O116" i="24"/>
  <c r="P116" i="24" s="1"/>
  <c r="M117" i="24"/>
  <c r="O117" i="24"/>
  <c r="M118" i="24"/>
  <c r="O118" i="24"/>
  <c r="P118" i="24" s="1"/>
  <c r="M119" i="24"/>
  <c r="O119" i="24"/>
  <c r="M120" i="24"/>
  <c r="O120" i="24"/>
  <c r="P120" i="24" s="1"/>
  <c r="M121" i="24"/>
  <c r="O121" i="24"/>
  <c r="M122" i="24"/>
  <c r="O122" i="24"/>
  <c r="P122" i="24" s="1"/>
  <c r="M123" i="24"/>
  <c r="O123" i="24"/>
  <c r="M124" i="24"/>
  <c r="O124" i="24"/>
  <c r="P124" i="24" s="1"/>
  <c r="M125" i="24"/>
  <c r="O125" i="24"/>
  <c r="M126" i="24"/>
  <c r="O126" i="24"/>
  <c r="P126" i="24" s="1"/>
  <c r="M127" i="24"/>
  <c r="O127" i="24"/>
  <c r="M128" i="24"/>
  <c r="O128" i="24"/>
  <c r="P128" i="24" s="1"/>
  <c r="M129" i="24"/>
  <c r="O129" i="24"/>
  <c r="P129" i="24" s="1"/>
  <c r="M130" i="24"/>
  <c r="O130" i="24"/>
  <c r="M131" i="24"/>
  <c r="O131" i="24"/>
  <c r="P131" i="24"/>
  <c r="M132" i="24"/>
  <c r="O132" i="24"/>
  <c r="P132" i="24"/>
  <c r="M133" i="24"/>
  <c r="O133" i="24"/>
  <c r="P133" i="24"/>
  <c r="M134" i="24"/>
  <c r="O134" i="24"/>
  <c r="P134" i="24"/>
  <c r="M135" i="24"/>
  <c r="O135" i="24"/>
  <c r="P135" i="24"/>
  <c r="M136" i="24"/>
  <c r="O136" i="24"/>
  <c r="P136" i="24"/>
  <c r="M137" i="24"/>
  <c r="O137" i="24"/>
  <c r="P137" i="24"/>
  <c r="M138" i="24"/>
  <c r="O138" i="24"/>
  <c r="P138" i="24"/>
  <c r="M139" i="24"/>
  <c r="O139" i="24"/>
  <c r="P139" i="24"/>
  <c r="M140" i="24"/>
  <c r="O140" i="24"/>
  <c r="P140" i="24"/>
  <c r="M141" i="24"/>
  <c r="O141" i="24"/>
  <c r="P141" i="24"/>
  <c r="M142" i="24"/>
  <c r="O142" i="24"/>
  <c r="P142" i="24"/>
  <c r="M143" i="24"/>
  <c r="O143" i="24"/>
  <c r="P143" i="24"/>
  <c r="M144" i="24"/>
  <c r="O144" i="24"/>
  <c r="P144" i="24"/>
  <c r="M145" i="24"/>
  <c r="O145" i="24"/>
  <c r="P145" i="24"/>
  <c r="M146" i="24"/>
  <c r="O146" i="24"/>
  <c r="P146" i="24"/>
  <c r="J147" i="24"/>
  <c r="M147" i="24"/>
  <c r="O147" i="24"/>
  <c r="P147" i="24"/>
  <c r="J148" i="24"/>
  <c r="M148" i="24"/>
  <c r="O148" i="24"/>
  <c r="P148" i="24"/>
  <c r="J149" i="24"/>
  <c r="M149" i="24"/>
  <c r="O149" i="24"/>
  <c r="P149" i="24"/>
  <c r="J150" i="24"/>
  <c r="M150" i="24"/>
  <c r="O150" i="24"/>
  <c r="P150" i="24"/>
  <c r="J151" i="24"/>
  <c r="M151" i="24"/>
  <c r="O151" i="24"/>
  <c r="P151" i="24"/>
  <c r="J152" i="24"/>
  <c r="M152" i="24"/>
  <c r="O152" i="24"/>
  <c r="P152" i="24"/>
  <c r="J153" i="24"/>
  <c r="M153" i="24"/>
  <c r="O153" i="24"/>
  <c r="P153" i="24"/>
  <c r="J154" i="24"/>
  <c r="M154" i="24"/>
  <c r="O154" i="24"/>
  <c r="P154" i="24"/>
  <c r="N100" i="3"/>
  <c r="L100" i="3"/>
  <c r="M18" i="3"/>
  <c r="D10" i="3"/>
  <c r="K21" i="10"/>
  <c r="K18" i="3"/>
  <c r="K18" i="4"/>
  <c r="K18" i="5"/>
  <c r="K19" i="6"/>
  <c r="K21" i="7"/>
  <c r="K19" i="8"/>
  <c r="K20" i="9"/>
  <c r="L20" i="9"/>
  <c r="K20" i="11"/>
  <c r="K17" i="22"/>
  <c r="W28" i="17"/>
  <c r="B19" i="23"/>
  <c r="I17" i="23"/>
  <c r="P1" i="23"/>
  <c r="P83" i="23" s="1"/>
  <c r="I11" i="23"/>
  <c r="K11" i="23"/>
  <c r="L17" i="23"/>
  <c r="N17" i="23"/>
  <c r="O17" i="23" s="1"/>
  <c r="B18" i="23"/>
  <c r="L18" i="23"/>
  <c r="N18" i="23"/>
  <c r="L25" i="23"/>
  <c r="N25" i="23"/>
  <c r="L26" i="23"/>
  <c r="N26" i="23"/>
  <c r="L27" i="23"/>
  <c r="N27" i="23"/>
  <c r="L28" i="23"/>
  <c r="N28" i="23"/>
  <c r="O28" i="23" s="1"/>
  <c r="L29" i="23"/>
  <c r="N29" i="23"/>
  <c r="O29" i="23" s="1"/>
  <c r="L30" i="23"/>
  <c r="N30" i="23"/>
  <c r="L31" i="23"/>
  <c r="N31" i="23"/>
  <c r="O31" i="23" s="1"/>
  <c r="L32" i="23"/>
  <c r="N32" i="23"/>
  <c r="L33" i="23"/>
  <c r="N33" i="23"/>
  <c r="O33" i="23" s="1"/>
  <c r="L34" i="23"/>
  <c r="N34" i="23"/>
  <c r="L35" i="23"/>
  <c r="N35" i="23"/>
  <c r="O35" i="23"/>
  <c r="L36" i="23"/>
  <c r="N36" i="23"/>
  <c r="O36" i="23"/>
  <c r="L37" i="23"/>
  <c r="N37" i="23"/>
  <c r="L38" i="23"/>
  <c r="N38" i="23"/>
  <c r="O38" i="23"/>
  <c r="L39" i="23"/>
  <c r="N39" i="23"/>
  <c r="L40" i="23"/>
  <c r="N40" i="23"/>
  <c r="O40" i="23"/>
  <c r="L41" i="23"/>
  <c r="N41" i="23"/>
  <c r="O41" i="23"/>
  <c r="L42" i="23"/>
  <c r="N42" i="23"/>
  <c r="L43" i="23"/>
  <c r="N43" i="23"/>
  <c r="O43" i="23"/>
  <c r="L44" i="23"/>
  <c r="N44" i="23"/>
  <c r="L45" i="23"/>
  <c r="N45" i="23"/>
  <c r="L46" i="23"/>
  <c r="N46" i="23"/>
  <c r="O46" i="23"/>
  <c r="L47" i="23"/>
  <c r="N47" i="23"/>
  <c r="L48" i="23"/>
  <c r="N48" i="23"/>
  <c r="L49" i="23"/>
  <c r="N49" i="23"/>
  <c r="L50" i="23"/>
  <c r="N50" i="23"/>
  <c r="L51" i="23"/>
  <c r="O51" i="23" s="1"/>
  <c r="N51" i="23"/>
  <c r="L52" i="23"/>
  <c r="N52" i="23"/>
  <c r="O52" i="23" s="1"/>
  <c r="L53" i="23"/>
  <c r="N53" i="23"/>
  <c r="L54" i="23"/>
  <c r="N54" i="23"/>
  <c r="L55" i="23"/>
  <c r="O55" i="23"/>
  <c r="N55" i="23"/>
  <c r="L56" i="23"/>
  <c r="N56" i="23"/>
  <c r="O56" i="23"/>
  <c r="L57" i="23"/>
  <c r="N57" i="23"/>
  <c r="L58" i="23"/>
  <c r="N58" i="23"/>
  <c r="O58" i="23" s="1"/>
  <c r="L59" i="23"/>
  <c r="N59" i="23"/>
  <c r="L60" i="23"/>
  <c r="N60" i="23"/>
  <c r="L61" i="23"/>
  <c r="N61" i="23"/>
  <c r="O61" i="23"/>
  <c r="L62" i="23"/>
  <c r="N62" i="23"/>
  <c r="L63" i="23"/>
  <c r="N63" i="23"/>
  <c r="O63" i="23"/>
  <c r="L64" i="23"/>
  <c r="N64" i="23"/>
  <c r="L65" i="23"/>
  <c r="N65" i="23"/>
  <c r="L66" i="23"/>
  <c r="N66" i="23"/>
  <c r="L67" i="23"/>
  <c r="N67" i="23"/>
  <c r="L68" i="23"/>
  <c r="N68" i="23"/>
  <c r="L69" i="23"/>
  <c r="N69" i="23"/>
  <c r="L70" i="23"/>
  <c r="N70" i="23"/>
  <c r="L71" i="23"/>
  <c r="O71" i="23"/>
  <c r="N71" i="23"/>
  <c r="L72" i="23"/>
  <c r="N72" i="23"/>
  <c r="D89" i="23"/>
  <c r="D91" i="23"/>
  <c r="J93" i="23"/>
  <c r="L93" i="23"/>
  <c r="D96" i="23"/>
  <c r="M99" i="23"/>
  <c r="M105" i="23"/>
  <c r="O105" i="23"/>
  <c r="P105" i="23" s="1"/>
  <c r="M106" i="23"/>
  <c r="O106" i="23"/>
  <c r="M107" i="23"/>
  <c r="O107" i="23"/>
  <c r="P107" i="23" s="1"/>
  <c r="M108" i="23"/>
  <c r="O108" i="23"/>
  <c r="P108" i="23" s="1"/>
  <c r="M109" i="23"/>
  <c r="O109" i="23"/>
  <c r="M110" i="23"/>
  <c r="O110" i="23"/>
  <c r="P110" i="23" s="1"/>
  <c r="M111" i="23"/>
  <c r="O111" i="23"/>
  <c r="P111" i="23" s="1"/>
  <c r="M112" i="23"/>
  <c r="O112" i="23"/>
  <c r="P112" i="23" s="1"/>
  <c r="M113" i="23"/>
  <c r="O113" i="23"/>
  <c r="M114" i="23"/>
  <c r="O114" i="23"/>
  <c r="P114" i="23" s="1"/>
  <c r="M115" i="23"/>
  <c r="O115" i="23"/>
  <c r="P115" i="23" s="1"/>
  <c r="M116" i="23"/>
  <c r="O116" i="23"/>
  <c r="P116" i="23" s="1"/>
  <c r="M117" i="23"/>
  <c r="O117" i="23"/>
  <c r="M118" i="23"/>
  <c r="O118" i="23"/>
  <c r="M119" i="23"/>
  <c r="O119" i="23"/>
  <c r="P119" i="23" s="1"/>
  <c r="M120" i="23"/>
  <c r="O120" i="23"/>
  <c r="M121" i="23"/>
  <c r="O121" i="23"/>
  <c r="P121" i="23" s="1"/>
  <c r="M122" i="23"/>
  <c r="O122" i="23"/>
  <c r="M123" i="23"/>
  <c r="O123" i="23"/>
  <c r="M124" i="23"/>
  <c r="O124" i="23"/>
  <c r="P124" i="23" s="1"/>
  <c r="M125" i="23"/>
  <c r="O125" i="23"/>
  <c r="P125" i="23" s="1"/>
  <c r="M126" i="23"/>
  <c r="O126" i="23"/>
  <c r="P126" i="23" s="1"/>
  <c r="M127" i="23"/>
  <c r="O127" i="23"/>
  <c r="P127" i="23" s="1"/>
  <c r="M128" i="23"/>
  <c r="O128" i="23"/>
  <c r="P128" i="23" s="1"/>
  <c r="M129" i="23"/>
  <c r="O129" i="23"/>
  <c r="M130" i="23"/>
  <c r="O130" i="23"/>
  <c r="J131" i="23"/>
  <c r="M131" i="23"/>
  <c r="O131" i="23"/>
  <c r="P131" i="23"/>
  <c r="J132" i="23"/>
  <c r="M132" i="23"/>
  <c r="O132" i="23"/>
  <c r="P132" i="23"/>
  <c r="J133" i="23"/>
  <c r="M133" i="23"/>
  <c r="O133" i="23"/>
  <c r="P133" i="23"/>
  <c r="J134" i="23"/>
  <c r="M134" i="23"/>
  <c r="O134" i="23"/>
  <c r="P134" i="23"/>
  <c r="J135" i="23"/>
  <c r="M135" i="23"/>
  <c r="O135" i="23"/>
  <c r="P135" i="23"/>
  <c r="J136" i="23"/>
  <c r="M136" i="23"/>
  <c r="O136" i="23"/>
  <c r="P136" i="23"/>
  <c r="J137" i="23"/>
  <c r="M137" i="23"/>
  <c r="O137" i="23"/>
  <c r="P137" i="23"/>
  <c r="J138" i="23"/>
  <c r="M138" i="23"/>
  <c r="O138" i="23"/>
  <c r="P138" i="23"/>
  <c r="J139" i="23"/>
  <c r="M139" i="23"/>
  <c r="O139" i="23"/>
  <c r="P139" i="23"/>
  <c r="J140" i="23"/>
  <c r="M140" i="23"/>
  <c r="O140" i="23"/>
  <c r="P140" i="23"/>
  <c r="J141" i="23"/>
  <c r="M141" i="23"/>
  <c r="O141" i="23"/>
  <c r="P141" i="23"/>
  <c r="J142" i="23"/>
  <c r="M142" i="23"/>
  <c r="O142" i="23"/>
  <c r="P142" i="23"/>
  <c r="J143" i="23"/>
  <c r="M143" i="23"/>
  <c r="O143" i="23"/>
  <c r="P143" i="23"/>
  <c r="J144" i="23"/>
  <c r="M144" i="23"/>
  <c r="O144" i="23"/>
  <c r="P144" i="23"/>
  <c r="J145" i="23"/>
  <c r="M145" i="23"/>
  <c r="O145" i="23"/>
  <c r="P145" i="23"/>
  <c r="J146" i="23"/>
  <c r="M146" i="23"/>
  <c r="O146" i="23"/>
  <c r="P146" i="23"/>
  <c r="J147" i="23"/>
  <c r="M147" i="23"/>
  <c r="O147" i="23"/>
  <c r="P147" i="23"/>
  <c r="J148" i="23"/>
  <c r="M148" i="23"/>
  <c r="O148" i="23"/>
  <c r="P148" i="23"/>
  <c r="J149" i="23"/>
  <c r="M149" i="23"/>
  <c r="O149" i="23"/>
  <c r="P149" i="23"/>
  <c r="J150" i="23"/>
  <c r="M150" i="23"/>
  <c r="O150" i="23"/>
  <c r="P150" i="23"/>
  <c r="J151" i="23"/>
  <c r="M151" i="23"/>
  <c r="O151" i="23"/>
  <c r="P151" i="23"/>
  <c r="J152" i="23"/>
  <c r="M152" i="23"/>
  <c r="O152" i="23"/>
  <c r="P152" i="23"/>
  <c r="J153" i="23"/>
  <c r="M153" i="23"/>
  <c r="O153" i="23"/>
  <c r="P153" i="23"/>
  <c r="J154" i="23"/>
  <c r="M154" i="23"/>
  <c r="O154" i="23"/>
  <c r="P154" i="23"/>
  <c r="M17" i="22"/>
  <c r="N17" i="22"/>
  <c r="N101" i="11"/>
  <c r="O101" i="11" s="1"/>
  <c r="L101" i="11"/>
  <c r="M20" i="11"/>
  <c r="M21" i="10"/>
  <c r="N102" i="10"/>
  <c r="L102" i="10"/>
  <c r="M20" i="9"/>
  <c r="N20" i="9"/>
  <c r="O20" i="9" s="1"/>
  <c r="N101" i="9"/>
  <c r="L101" i="9"/>
  <c r="N100" i="8"/>
  <c r="L100" i="8"/>
  <c r="M19" i="8"/>
  <c r="N102" i="7"/>
  <c r="L102" i="7"/>
  <c r="M102" i="7" s="1"/>
  <c r="M21" i="7"/>
  <c r="N21" i="7" s="1"/>
  <c r="O21" i="7" s="1"/>
  <c r="N100" i="6"/>
  <c r="L100" i="6"/>
  <c r="M19" i="6"/>
  <c r="N99" i="5"/>
  <c r="L99" i="5"/>
  <c r="M18" i="5"/>
  <c r="N99" i="4"/>
  <c r="L99" i="4"/>
  <c r="M18" i="4"/>
  <c r="N99" i="3"/>
  <c r="L99" i="3"/>
  <c r="D10" i="7"/>
  <c r="L18" i="7"/>
  <c r="B100" i="7"/>
  <c r="B102" i="8"/>
  <c r="B101" i="8"/>
  <c r="B100" i="8"/>
  <c r="B103" i="9"/>
  <c r="B102" i="9"/>
  <c r="B101" i="9"/>
  <c r="B100" i="9"/>
  <c r="B104" i="10"/>
  <c r="B103" i="10"/>
  <c r="B102" i="10"/>
  <c r="B101" i="10"/>
  <c r="B100" i="10"/>
  <c r="B103" i="11"/>
  <c r="B102" i="11"/>
  <c r="B101" i="11"/>
  <c r="B100" i="11"/>
  <c r="B100" i="22"/>
  <c r="B104" i="7"/>
  <c r="B103" i="7"/>
  <c r="B20" i="8"/>
  <c r="B19" i="8"/>
  <c r="B18" i="8"/>
  <c r="B22" i="9"/>
  <c r="B21" i="9"/>
  <c r="B20" i="9"/>
  <c r="B19" i="9"/>
  <c r="B18" i="9"/>
  <c r="B23" i="10"/>
  <c r="B22" i="10"/>
  <c r="B21" i="10"/>
  <c r="B20" i="10"/>
  <c r="B19" i="10"/>
  <c r="B18" i="10"/>
  <c r="B22" i="11"/>
  <c r="B21" i="11"/>
  <c r="B20" i="11"/>
  <c r="B19" i="11"/>
  <c r="B18" i="11"/>
  <c r="B18" i="22"/>
  <c r="I14" i="13"/>
  <c r="B22" i="7"/>
  <c r="B101" i="4"/>
  <c r="B100" i="4"/>
  <c r="B101" i="5"/>
  <c r="B100" i="5"/>
  <c r="B101" i="3"/>
  <c r="B100" i="3"/>
  <c r="B20" i="4"/>
  <c r="B19" i="4"/>
  <c r="B18" i="4"/>
  <c r="B20" i="5"/>
  <c r="B19" i="5"/>
  <c r="B18" i="5"/>
  <c r="B19" i="3"/>
  <c r="B18" i="3"/>
  <c r="B18" i="6"/>
  <c r="B20" i="6"/>
  <c r="B19" i="6"/>
  <c r="B102" i="6"/>
  <c r="B101" i="6"/>
  <c r="B100" i="6"/>
  <c r="I18" i="3"/>
  <c r="I19" i="3"/>
  <c r="D90" i="4"/>
  <c r="D90" i="5"/>
  <c r="D90" i="6"/>
  <c r="D90" i="7"/>
  <c r="D90" i="8"/>
  <c r="D8" i="9"/>
  <c r="D90" i="9"/>
  <c r="D90" i="10"/>
  <c r="D90" i="11"/>
  <c r="D90" i="22"/>
  <c r="D90" i="13"/>
  <c r="W27" i="17"/>
  <c r="N99" i="6"/>
  <c r="O99" i="6" s="1"/>
  <c r="P99" i="6" s="1"/>
  <c r="P1" i="22"/>
  <c r="P83" i="22" s="1"/>
  <c r="I11" i="22"/>
  <c r="K11" i="22"/>
  <c r="I17" i="22"/>
  <c r="L17" i="22"/>
  <c r="I18" i="22"/>
  <c r="L18" i="22"/>
  <c r="N18" i="22"/>
  <c r="O18" i="22" s="1"/>
  <c r="L19" i="22"/>
  <c r="N19" i="22"/>
  <c r="L26" i="22"/>
  <c r="N26" i="22"/>
  <c r="L27" i="22"/>
  <c r="N27" i="22"/>
  <c r="L28" i="22"/>
  <c r="N28" i="22"/>
  <c r="O28" i="22" s="1"/>
  <c r="L29" i="22"/>
  <c r="N29" i="22"/>
  <c r="L30" i="22"/>
  <c r="N30" i="22"/>
  <c r="L31" i="22"/>
  <c r="N31" i="22"/>
  <c r="O31" i="22" s="1"/>
  <c r="L32" i="22"/>
  <c r="N32" i="22"/>
  <c r="L33" i="22"/>
  <c r="N33" i="22"/>
  <c r="L34" i="22"/>
  <c r="O34" i="22" s="1"/>
  <c r="N34" i="22"/>
  <c r="L35" i="22"/>
  <c r="N35" i="22"/>
  <c r="O35" i="22"/>
  <c r="L36" i="22"/>
  <c r="N36" i="22"/>
  <c r="L37" i="22"/>
  <c r="N37" i="22"/>
  <c r="L38" i="22"/>
  <c r="N38" i="22"/>
  <c r="O38" i="22" s="1"/>
  <c r="L39" i="22"/>
  <c r="N39" i="22"/>
  <c r="O39" i="22" s="1"/>
  <c r="L40" i="22"/>
  <c r="O40" i="22" s="1"/>
  <c r="N40" i="22"/>
  <c r="L41" i="22"/>
  <c r="N41" i="22"/>
  <c r="L42" i="22"/>
  <c r="N42" i="22"/>
  <c r="O42" i="22" s="1"/>
  <c r="L43" i="22"/>
  <c r="N43" i="22"/>
  <c r="L44" i="22"/>
  <c r="N44" i="22"/>
  <c r="O44" i="22"/>
  <c r="L45" i="22"/>
  <c r="O45" i="22" s="1"/>
  <c r="N45" i="22"/>
  <c r="L46" i="22"/>
  <c r="N46" i="22"/>
  <c r="L47" i="22"/>
  <c r="N47" i="22"/>
  <c r="L48" i="22"/>
  <c r="O48" i="22"/>
  <c r="N48" i="22"/>
  <c r="L49" i="22"/>
  <c r="O49" i="22"/>
  <c r="N49" i="22"/>
  <c r="L50" i="22"/>
  <c r="N50" i="22"/>
  <c r="L51" i="22"/>
  <c r="N51" i="22"/>
  <c r="O51" i="22" s="1"/>
  <c r="L52" i="22"/>
  <c r="N52" i="22"/>
  <c r="L53" i="22"/>
  <c r="N53" i="22"/>
  <c r="L54" i="22"/>
  <c r="N54" i="22"/>
  <c r="L55" i="22"/>
  <c r="N55" i="22"/>
  <c r="L56" i="22"/>
  <c r="O56" i="22"/>
  <c r="N56" i="22"/>
  <c r="L57" i="22"/>
  <c r="N57" i="22"/>
  <c r="L58" i="22"/>
  <c r="N58" i="22"/>
  <c r="L59" i="22"/>
  <c r="N59" i="22"/>
  <c r="O59" i="22"/>
  <c r="L60" i="22"/>
  <c r="N60" i="22"/>
  <c r="L61" i="22"/>
  <c r="N61" i="22"/>
  <c r="L62" i="22"/>
  <c r="N62" i="22"/>
  <c r="L63" i="22"/>
  <c r="N63" i="22"/>
  <c r="L64" i="22"/>
  <c r="N64" i="22"/>
  <c r="O64" i="22"/>
  <c r="L65" i="22"/>
  <c r="N65" i="22"/>
  <c r="L66" i="22"/>
  <c r="N66" i="22"/>
  <c r="L67" i="22"/>
  <c r="N67" i="22"/>
  <c r="L68" i="22"/>
  <c r="N68" i="22"/>
  <c r="O68" i="22" s="1"/>
  <c r="L69" i="22"/>
  <c r="N69" i="22"/>
  <c r="L70" i="22"/>
  <c r="N70" i="22"/>
  <c r="L71" i="22"/>
  <c r="N71" i="22"/>
  <c r="L72" i="22"/>
  <c r="N72" i="22"/>
  <c r="D89" i="22"/>
  <c r="D91" i="22"/>
  <c r="J93" i="22"/>
  <c r="L93" i="22"/>
  <c r="D96" i="22"/>
  <c r="J99" i="22"/>
  <c r="M99" i="22"/>
  <c r="O99" i="22"/>
  <c r="O100" i="22"/>
  <c r="M106" i="22"/>
  <c r="O106" i="22"/>
  <c r="M107" i="22"/>
  <c r="O107" i="22"/>
  <c r="M108" i="22"/>
  <c r="O108" i="22"/>
  <c r="P108" i="22" s="1"/>
  <c r="M109" i="22"/>
  <c r="O109" i="22"/>
  <c r="M110" i="22"/>
  <c r="O110" i="22"/>
  <c r="M111" i="22"/>
  <c r="O111" i="22"/>
  <c r="M112" i="22"/>
  <c r="O112" i="22"/>
  <c r="M113" i="22"/>
  <c r="O113" i="22"/>
  <c r="P113" i="22" s="1"/>
  <c r="M114" i="22"/>
  <c r="O114" i="22"/>
  <c r="P114" i="22" s="1"/>
  <c r="M115" i="22"/>
  <c r="O115" i="22"/>
  <c r="M116" i="22"/>
  <c r="O116" i="22"/>
  <c r="M117" i="22"/>
  <c r="O117" i="22"/>
  <c r="M118" i="22"/>
  <c r="O118" i="22"/>
  <c r="P118" i="22" s="1"/>
  <c r="M119" i="22"/>
  <c r="O119" i="22"/>
  <c r="M120" i="22"/>
  <c r="O120" i="22"/>
  <c r="P120" i="22" s="1"/>
  <c r="M121" i="22"/>
  <c r="O121" i="22"/>
  <c r="M122" i="22"/>
  <c r="O122" i="22"/>
  <c r="M123" i="22"/>
  <c r="O123" i="22"/>
  <c r="M124" i="22"/>
  <c r="O124" i="22"/>
  <c r="M125" i="22"/>
  <c r="P125" i="22" s="1"/>
  <c r="O125" i="22"/>
  <c r="M126" i="22"/>
  <c r="O126" i="22"/>
  <c r="M127" i="22"/>
  <c r="O127" i="22"/>
  <c r="P127" i="22" s="1"/>
  <c r="M128" i="22"/>
  <c r="O128" i="22"/>
  <c r="M129" i="22"/>
  <c r="O129" i="22"/>
  <c r="M130" i="22"/>
  <c r="O130" i="22"/>
  <c r="J131" i="22"/>
  <c r="M131" i="22"/>
  <c r="O131" i="22"/>
  <c r="P131" i="22"/>
  <c r="J132" i="22"/>
  <c r="M132" i="22"/>
  <c r="O132" i="22"/>
  <c r="P132" i="22"/>
  <c r="J133" i="22"/>
  <c r="M133" i="22"/>
  <c r="O133" i="22"/>
  <c r="P133" i="22"/>
  <c r="J134" i="22"/>
  <c r="M134" i="22"/>
  <c r="O134" i="22"/>
  <c r="P134" i="22"/>
  <c r="J135" i="22"/>
  <c r="M135" i="22"/>
  <c r="O135" i="22"/>
  <c r="P135" i="22"/>
  <c r="J136" i="22"/>
  <c r="M136" i="22"/>
  <c r="O136" i="22"/>
  <c r="P136" i="22"/>
  <c r="J137" i="22"/>
  <c r="M137" i="22"/>
  <c r="O137" i="22"/>
  <c r="P137" i="22"/>
  <c r="J138" i="22"/>
  <c r="M138" i="22"/>
  <c r="O138" i="22"/>
  <c r="P138" i="22"/>
  <c r="J139" i="22"/>
  <c r="M139" i="22"/>
  <c r="O139" i="22"/>
  <c r="P139" i="22"/>
  <c r="J140" i="22"/>
  <c r="M140" i="22"/>
  <c r="O140" i="22"/>
  <c r="P140" i="22"/>
  <c r="J141" i="22"/>
  <c r="M141" i="22"/>
  <c r="O141" i="22"/>
  <c r="P141" i="22"/>
  <c r="J142" i="22"/>
  <c r="M142" i="22"/>
  <c r="O142" i="22"/>
  <c r="P142" i="22"/>
  <c r="J143" i="22"/>
  <c r="M143" i="22"/>
  <c r="O143" i="22"/>
  <c r="P143" i="22"/>
  <c r="J144" i="22"/>
  <c r="M144" i="22"/>
  <c r="O144" i="22"/>
  <c r="P144" i="22"/>
  <c r="J145" i="22"/>
  <c r="M145" i="22"/>
  <c r="O145" i="22"/>
  <c r="P145" i="22"/>
  <c r="J146" i="22"/>
  <c r="M146" i="22"/>
  <c r="O146" i="22"/>
  <c r="P146" i="22"/>
  <c r="J147" i="22"/>
  <c r="M147" i="22"/>
  <c r="O147" i="22"/>
  <c r="P147" i="22"/>
  <c r="J148" i="22"/>
  <c r="M148" i="22"/>
  <c r="O148" i="22"/>
  <c r="P148" i="22"/>
  <c r="J149" i="22"/>
  <c r="M149" i="22"/>
  <c r="O149" i="22"/>
  <c r="P149" i="22"/>
  <c r="J150" i="22"/>
  <c r="M150" i="22"/>
  <c r="O150" i="22"/>
  <c r="P150" i="22"/>
  <c r="J151" i="22"/>
  <c r="M151" i="22"/>
  <c r="O151" i="22"/>
  <c r="P151" i="22"/>
  <c r="J152" i="22"/>
  <c r="M152" i="22"/>
  <c r="O152" i="22"/>
  <c r="P152" i="22"/>
  <c r="J153" i="22"/>
  <c r="M153" i="22"/>
  <c r="O153" i="22"/>
  <c r="P153" i="22"/>
  <c r="J154" i="22"/>
  <c r="M154" i="22"/>
  <c r="O154" i="22"/>
  <c r="P154" i="22"/>
  <c r="P1" i="8"/>
  <c r="P83" i="8" s="1"/>
  <c r="P1" i="11"/>
  <c r="P83" i="11" s="1"/>
  <c r="G99" i="6"/>
  <c r="P12" i="17"/>
  <c r="L12" i="17"/>
  <c r="W26" i="17"/>
  <c r="W25" i="17"/>
  <c r="W24" i="17"/>
  <c r="W23" i="17"/>
  <c r="W22" i="17"/>
  <c r="W21" i="17"/>
  <c r="W20" i="17"/>
  <c r="W19" i="17"/>
  <c r="W18" i="17"/>
  <c r="G12" i="17"/>
  <c r="H3" i="3"/>
  <c r="H3" i="4"/>
  <c r="H3" i="5"/>
  <c r="H3" i="6"/>
  <c r="M101" i="7"/>
  <c r="C12" i="2"/>
  <c r="C12" i="1"/>
  <c r="P1" i="13"/>
  <c r="P83" i="13" s="1"/>
  <c r="P1" i="4"/>
  <c r="P83" i="4" s="1"/>
  <c r="P1" i="5"/>
  <c r="P83" i="5" s="1"/>
  <c r="P1" i="6"/>
  <c r="P83" i="6" s="1"/>
  <c r="P1" i="7"/>
  <c r="P83" i="7" s="1"/>
  <c r="P1" i="9"/>
  <c r="P83" i="9" s="1"/>
  <c r="P1" i="10"/>
  <c r="P83" i="10" s="1"/>
  <c r="P1" i="3"/>
  <c r="P83" i="3" s="1"/>
  <c r="O3" i="3"/>
  <c r="A5" i="2"/>
  <c r="A1" i="2"/>
  <c r="F13" i="2"/>
  <c r="C79" i="2" s="1"/>
  <c r="C89" i="2"/>
  <c r="I11" i="13"/>
  <c r="K11" i="13"/>
  <c r="L17" i="13"/>
  <c r="N17" i="13"/>
  <c r="O17" i="13"/>
  <c r="L18" i="13"/>
  <c r="N18" i="13"/>
  <c r="L19" i="13"/>
  <c r="N19" i="13"/>
  <c r="L20" i="13"/>
  <c r="N20" i="13"/>
  <c r="O20" i="13"/>
  <c r="L21" i="13"/>
  <c r="N21" i="13"/>
  <c r="O21" i="13"/>
  <c r="L22" i="13"/>
  <c r="N22" i="13"/>
  <c r="O22" i="13"/>
  <c r="L23" i="13"/>
  <c r="N23" i="13"/>
  <c r="L24" i="13"/>
  <c r="N24" i="13"/>
  <c r="O24" i="13"/>
  <c r="L25" i="13"/>
  <c r="N25" i="13"/>
  <c r="L26" i="13"/>
  <c r="N26" i="13"/>
  <c r="L27" i="13"/>
  <c r="N27" i="13"/>
  <c r="O27" i="13"/>
  <c r="L28" i="13"/>
  <c r="N28" i="13"/>
  <c r="L29" i="13"/>
  <c r="N29" i="13"/>
  <c r="O29" i="13"/>
  <c r="L30" i="13"/>
  <c r="N30" i="13"/>
  <c r="L31" i="13"/>
  <c r="N31" i="13"/>
  <c r="O31" i="13" s="1"/>
  <c r="L32" i="13"/>
  <c r="N32" i="13"/>
  <c r="O32" i="13"/>
  <c r="L33" i="13"/>
  <c r="N33" i="13"/>
  <c r="L34" i="13"/>
  <c r="N34" i="13"/>
  <c r="L35" i="13"/>
  <c r="N35" i="13"/>
  <c r="L36" i="13"/>
  <c r="N36" i="13"/>
  <c r="L37" i="13"/>
  <c r="N37" i="13"/>
  <c r="O37" i="13" s="1"/>
  <c r="L38" i="13"/>
  <c r="N38" i="13"/>
  <c r="O38" i="13" s="1"/>
  <c r="L39" i="13"/>
  <c r="N39" i="13"/>
  <c r="L40" i="13"/>
  <c r="N40" i="13"/>
  <c r="L41" i="13"/>
  <c r="O41" i="13"/>
  <c r="N41" i="13"/>
  <c r="L42" i="13"/>
  <c r="N42" i="13"/>
  <c r="O42" i="13"/>
  <c r="L43" i="13"/>
  <c r="N43" i="13"/>
  <c r="L44" i="13"/>
  <c r="N44" i="13"/>
  <c r="L45" i="13"/>
  <c r="N45" i="13"/>
  <c r="O45" i="13" s="1"/>
  <c r="L46" i="13"/>
  <c r="N46" i="13"/>
  <c r="L47" i="13"/>
  <c r="N47" i="13"/>
  <c r="L48" i="13"/>
  <c r="N48" i="13"/>
  <c r="L49" i="13"/>
  <c r="N49" i="13"/>
  <c r="L50" i="13"/>
  <c r="N50" i="13"/>
  <c r="O50" i="13"/>
  <c r="L51" i="13"/>
  <c r="N51" i="13"/>
  <c r="L52" i="13"/>
  <c r="N52" i="13"/>
  <c r="L53" i="13"/>
  <c r="N53" i="13"/>
  <c r="O53" i="13"/>
  <c r="L54" i="13"/>
  <c r="N54" i="13"/>
  <c r="L55" i="13"/>
  <c r="N55" i="13"/>
  <c r="L56" i="13"/>
  <c r="N56" i="13"/>
  <c r="L57" i="13"/>
  <c r="N57" i="13"/>
  <c r="O57" i="13"/>
  <c r="L58" i="13"/>
  <c r="O58" i="13"/>
  <c r="N58" i="13"/>
  <c r="L59" i="13"/>
  <c r="N59" i="13"/>
  <c r="L60" i="13"/>
  <c r="N60" i="13"/>
  <c r="O60" i="13"/>
  <c r="L61" i="13"/>
  <c r="N61" i="13"/>
  <c r="O61" i="13" s="1"/>
  <c r="L62" i="13"/>
  <c r="N62" i="13"/>
  <c r="L63" i="13"/>
  <c r="N63" i="13"/>
  <c r="L64" i="13"/>
  <c r="N64" i="13"/>
  <c r="O64" i="13"/>
  <c r="L65" i="13"/>
  <c r="N65" i="13"/>
  <c r="L66" i="13"/>
  <c r="N66" i="13"/>
  <c r="L67" i="13"/>
  <c r="N67" i="13"/>
  <c r="L68" i="13"/>
  <c r="N68" i="13"/>
  <c r="O68" i="13" s="1"/>
  <c r="L69" i="13"/>
  <c r="N69" i="13"/>
  <c r="L70" i="13"/>
  <c r="N70" i="13"/>
  <c r="O70" i="13"/>
  <c r="L71" i="13"/>
  <c r="N71" i="13"/>
  <c r="L72" i="13"/>
  <c r="N72" i="13"/>
  <c r="D89" i="13"/>
  <c r="D91" i="13"/>
  <c r="J93" i="13"/>
  <c r="L93" i="13"/>
  <c r="D96" i="13"/>
  <c r="M99" i="13"/>
  <c r="O99" i="13"/>
  <c r="M100" i="13"/>
  <c r="O100" i="13"/>
  <c r="M101" i="13"/>
  <c r="O101" i="13"/>
  <c r="M102" i="13"/>
  <c r="O102" i="13"/>
  <c r="P102" i="13" s="1"/>
  <c r="M103" i="13"/>
  <c r="O103" i="13"/>
  <c r="P103" i="13" s="1"/>
  <c r="M104" i="13"/>
  <c r="O104" i="13"/>
  <c r="M105" i="13"/>
  <c r="O105" i="13"/>
  <c r="P105" i="13" s="1"/>
  <c r="M106" i="13"/>
  <c r="O106" i="13"/>
  <c r="M107" i="13"/>
  <c r="O107" i="13"/>
  <c r="M108" i="13"/>
  <c r="O108" i="13"/>
  <c r="P108" i="13" s="1"/>
  <c r="M109" i="13"/>
  <c r="O109" i="13"/>
  <c r="M110" i="13"/>
  <c r="O110" i="13"/>
  <c r="P110" i="13" s="1"/>
  <c r="M111" i="13"/>
  <c r="O111" i="13"/>
  <c r="M112" i="13"/>
  <c r="O112" i="13"/>
  <c r="M113" i="13"/>
  <c r="O113" i="13"/>
  <c r="M114" i="13"/>
  <c r="O114" i="13"/>
  <c r="P114" i="13" s="1"/>
  <c r="M115" i="13"/>
  <c r="O115" i="13"/>
  <c r="M116" i="13"/>
  <c r="O116" i="13"/>
  <c r="P116" i="13" s="1"/>
  <c r="M117" i="13"/>
  <c r="O117" i="13"/>
  <c r="M118" i="13"/>
  <c r="O118" i="13"/>
  <c r="M119" i="13"/>
  <c r="O119" i="13"/>
  <c r="M120" i="13"/>
  <c r="O120" i="13"/>
  <c r="M121" i="13"/>
  <c r="O121" i="13"/>
  <c r="P121" i="13" s="1"/>
  <c r="M122" i="13"/>
  <c r="O122" i="13"/>
  <c r="M123" i="13"/>
  <c r="O123" i="13"/>
  <c r="M124" i="13"/>
  <c r="O124" i="13"/>
  <c r="M125" i="13"/>
  <c r="O125" i="13"/>
  <c r="P125" i="13" s="1"/>
  <c r="M126" i="13"/>
  <c r="O126" i="13"/>
  <c r="M127" i="13"/>
  <c r="O127" i="13"/>
  <c r="M128" i="13"/>
  <c r="O128" i="13"/>
  <c r="M129" i="13"/>
  <c r="O129" i="13"/>
  <c r="P129" i="13" s="1"/>
  <c r="M130" i="13"/>
  <c r="O130" i="13"/>
  <c r="J131" i="13"/>
  <c r="M131" i="13"/>
  <c r="O131" i="13"/>
  <c r="P131" i="13"/>
  <c r="J132" i="13"/>
  <c r="M132" i="13"/>
  <c r="O132" i="13"/>
  <c r="P132" i="13"/>
  <c r="J133" i="13"/>
  <c r="M133" i="13"/>
  <c r="O133" i="13"/>
  <c r="P133" i="13"/>
  <c r="J134" i="13"/>
  <c r="M134" i="13"/>
  <c r="O134" i="13"/>
  <c r="P134" i="13"/>
  <c r="J135" i="13"/>
  <c r="M135" i="13"/>
  <c r="O135" i="13"/>
  <c r="P135" i="13"/>
  <c r="J136" i="13"/>
  <c r="M136" i="13"/>
  <c r="O136" i="13"/>
  <c r="P136" i="13"/>
  <c r="J137" i="13"/>
  <c r="M137" i="13"/>
  <c r="O137" i="13"/>
  <c r="P137" i="13"/>
  <c r="J138" i="13"/>
  <c r="M138" i="13"/>
  <c r="O138" i="13"/>
  <c r="P138" i="13"/>
  <c r="J139" i="13"/>
  <c r="M139" i="13"/>
  <c r="O139" i="13"/>
  <c r="P139" i="13"/>
  <c r="J140" i="13"/>
  <c r="M140" i="13"/>
  <c r="O140" i="13"/>
  <c r="P140" i="13"/>
  <c r="J141" i="13"/>
  <c r="M141" i="13"/>
  <c r="O141" i="13"/>
  <c r="P141" i="13"/>
  <c r="J142" i="13"/>
  <c r="M142" i="13"/>
  <c r="O142" i="13"/>
  <c r="P142" i="13"/>
  <c r="J143" i="13"/>
  <c r="M143" i="13"/>
  <c r="O143" i="13"/>
  <c r="P143" i="13"/>
  <c r="J144" i="13"/>
  <c r="M144" i="13"/>
  <c r="O144" i="13"/>
  <c r="P144" i="13"/>
  <c r="J145" i="13"/>
  <c r="M145" i="13"/>
  <c r="O145" i="13"/>
  <c r="P145" i="13"/>
  <c r="J146" i="13"/>
  <c r="M146" i="13"/>
  <c r="O146" i="13"/>
  <c r="P146" i="13"/>
  <c r="J147" i="13"/>
  <c r="M147" i="13"/>
  <c r="O147" i="13"/>
  <c r="P147" i="13"/>
  <c r="J148" i="13"/>
  <c r="M148" i="13"/>
  <c r="O148" i="13"/>
  <c r="P148" i="13"/>
  <c r="J149" i="13"/>
  <c r="M149" i="13"/>
  <c r="O149" i="13"/>
  <c r="P149" i="13"/>
  <c r="J150" i="13"/>
  <c r="M150" i="13"/>
  <c r="O150" i="13"/>
  <c r="P150" i="13"/>
  <c r="J151" i="13"/>
  <c r="M151" i="13"/>
  <c r="O151" i="13"/>
  <c r="P151" i="13"/>
  <c r="J152" i="13"/>
  <c r="M152" i="13"/>
  <c r="O152" i="13"/>
  <c r="P152" i="13"/>
  <c r="J153" i="13"/>
  <c r="M153" i="13"/>
  <c r="O153" i="13"/>
  <c r="P153" i="13"/>
  <c r="J154" i="13"/>
  <c r="M154" i="13"/>
  <c r="O154" i="13"/>
  <c r="P154" i="13"/>
  <c r="I11" i="11"/>
  <c r="K11" i="11"/>
  <c r="I17" i="11"/>
  <c r="L17" i="11"/>
  <c r="N17" i="11"/>
  <c r="O17" i="11"/>
  <c r="I18" i="11"/>
  <c r="L18" i="11"/>
  <c r="N18" i="11"/>
  <c r="O18" i="11"/>
  <c r="I19" i="11"/>
  <c r="L19" i="11"/>
  <c r="N19" i="11"/>
  <c r="O19" i="11"/>
  <c r="I20" i="11"/>
  <c r="L20" i="11"/>
  <c r="N20" i="11"/>
  <c r="O20" i="11"/>
  <c r="I21" i="11"/>
  <c r="L21" i="11"/>
  <c r="N21" i="11"/>
  <c r="O21" i="11"/>
  <c r="L22" i="11"/>
  <c r="N22" i="11"/>
  <c r="O22" i="11" s="1"/>
  <c r="L29" i="11"/>
  <c r="N29" i="11"/>
  <c r="O29" i="11"/>
  <c r="L30" i="11"/>
  <c r="O30" i="11"/>
  <c r="N30" i="11"/>
  <c r="L31" i="11"/>
  <c r="O31" i="11" s="1"/>
  <c r="N31" i="11"/>
  <c r="L32" i="11"/>
  <c r="N32" i="11"/>
  <c r="O32" i="11"/>
  <c r="L33" i="11"/>
  <c r="N33" i="11"/>
  <c r="O33" i="11" s="1"/>
  <c r="L34" i="11"/>
  <c r="N34" i="11"/>
  <c r="L35" i="11"/>
  <c r="N35" i="11"/>
  <c r="O35" i="11"/>
  <c r="L36" i="11"/>
  <c r="N36" i="11"/>
  <c r="O36" i="11" s="1"/>
  <c r="L37" i="11"/>
  <c r="N37" i="11"/>
  <c r="O37" i="11"/>
  <c r="L38" i="11"/>
  <c r="N38" i="11"/>
  <c r="L39" i="11"/>
  <c r="N39" i="11"/>
  <c r="O39" i="11" s="1"/>
  <c r="L40" i="11"/>
  <c r="N40" i="11"/>
  <c r="L41" i="11"/>
  <c r="N41" i="11"/>
  <c r="O41" i="11" s="1"/>
  <c r="L42" i="11"/>
  <c r="N42" i="11"/>
  <c r="O42" i="11" s="1"/>
  <c r="L43" i="11"/>
  <c r="N43" i="11"/>
  <c r="O43" i="11"/>
  <c r="L44" i="11"/>
  <c r="N44" i="11"/>
  <c r="L45" i="11"/>
  <c r="N45" i="11"/>
  <c r="O45" i="11" s="1"/>
  <c r="L46" i="11"/>
  <c r="N46" i="11"/>
  <c r="O46" i="11"/>
  <c r="L47" i="11"/>
  <c r="N47" i="11"/>
  <c r="O47" i="11"/>
  <c r="L48" i="11"/>
  <c r="N48" i="11"/>
  <c r="L49" i="11"/>
  <c r="N49" i="11"/>
  <c r="O49" i="11"/>
  <c r="L50" i="11"/>
  <c r="N50" i="11"/>
  <c r="L51" i="11"/>
  <c r="N51" i="11"/>
  <c r="O51" i="11" s="1"/>
  <c r="L52" i="11"/>
  <c r="N52" i="11"/>
  <c r="O52" i="11" s="1"/>
  <c r="L53" i="11"/>
  <c r="N53" i="11"/>
  <c r="L54" i="11"/>
  <c r="N54" i="11"/>
  <c r="L55" i="11"/>
  <c r="N55" i="11"/>
  <c r="O55" i="11" s="1"/>
  <c r="L56" i="11"/>
  <c r="N56" i="11"/>
  <c r="L57" i="11"/>
  <c r="N57" i="11"/>
  <c r="L58" i="11"/>
  <c r="N58" i="11"/>
  <c r="O58" i="11" s="1"/>
  <c r="L59" i="11"/>
  <c r="N59" i="11"/>
  <c r="L60" i="11"/>
  <c r="N60" i="11"/>
  <c r="O60" i="11" s="1"/>
  <c r="L61" i="11"/>
  <c r="N61" i="11"/>
  <c r="O61" i="11" s="1"/>
  <c r="L62" i="11"/>
  <c r="N62" i="11"/>
  <c r="L63" i="11"/>
  <c r="N63" i="11"/>
  <c r="L64" i="11"/>
  <c r="N64" i="11"/>
  <c r="L65" i="11"/>
  <c r="N65" i="11"/>
  <c r="O65" i="11" s="1"/>
  <c r="L66" i="11"/>
  <c r="N66" i="11"/>
  <c r="L67" i="11"/>
  <c r="N67" i="11"/>
  <c r="L68" i="11"/>
  <c r="N68" i="11"/>
  <c r="L69" i="11"/>
  <c r="N69" i="11"/>
  <c r="O69" i="11"/>
  <c r="L70" i="11"/>
  <c r="N70" i="11"/>
  <c r="O70" i="11" s="1"/>
  <c r="L71" i="11"/>
  <c r="N71" i="11"/>
  <c r="L72" i="11"/>
  <c r="N72" i="11"/>
  <c r="D89" i="11"/>
  <c r="D91" i="11"/>
  <c r="J93" i="11"/>
  <c r="L93" i="11"/>
  <c r="D96" i="11"/>
  <c r="J99" i="11"/>
  <c r="M99" i="11"/>
  <c r="O99" i="11"/>
  <c r="J100" i="11"/>
  <c r="M100" i="11"/>
  <c r="O100" i="11"/>
  <c r="P100" i="11"/>
  <c r="J101" i="11"/>
  <c r="M101" i="11"/>
  <c r="J102" i="11"/>
  <c r="M102" i="11"/>
  <c r="O102" i="11"/>
  <c r="P102" i="11"/>
  <c r="M103" i="11"/>
  <c r="P103" i="11"/>
  <c r="O103" i="11"/>
  <c r="M109" i="11"/>
  <c r="O109" i="11"/>
  <c r="M110" i="11"/>
  <c r="O110" i="11"/>
  <c r="P110" i="11" s="1"/>
  <c r="M111" i="11"/>
  <c r="O111" i="11"/>
  <c r="P111" i="11" s="1"/>
  <c r="M112" i="11"/>
  <c r="O112" i="11"/>
  <c r="M113" i="11"/>
  <c r="O113" i="11"/>
  <c r="P113" i="11" s="1"/>
  <c r="M114" i="11"/>
  <c r="O114" i="11"/>
  <c r="P114" i="11" s="1"/>
  <c r="M115" i="11"/>
  <c r="O115" i="11"/>
  <c r="P115" i="11" s="1"/>
  <c r="M116" i="11"/>
  <c r="O116" i="11"/>
  <c r="P116" i="11" s="1"/>
  <c r="M117" i="11"/>
  <c r="O117" i="11"/>
  <c r="P117" i="11" s="1"/>
  <c r="M118" i="11"/>
  <c r="O118" i="11"/>
  <c r="P118" i="11" s="1"/>
  <c r="M119" i="11"/>
  <c r="O119" i="11"/>
  <c r="M120" i="11"/>
  <c r="O120" i="11"/>
  <c r="M121" i="11"/>
  <c r="O121" i="11"/>
  <c r="M122" i="11"/>
  <c r="O122" i="11"/>
  <c r="M123" i="11"/>
  <c r="O123" i="11"/>
  <c r="M124" i="11"/>
  <c r="O124" i="11"/>
  <c r="M125" i="11"/>
  <c r="O125" i="11"/>
  <c r="M126" i="11"/>
  <c r="O126" i="11"/>
  <c r="M127" i="11"/>
  <c r="O127" i="11"/>
  <c r="M128" i="11"/>
  <c r="O128" i="11"/>
  <c r="M129" i="11"/>
  <c r="O129" i="11"/>
  <c r="M130" i="11"/>
  <c r="O130" i="11"/>
  <c r="J131" i="11"/>
  <c r="M131" i="11"/>
  <c r="O131" i="11"/>
  <c r="P131" i="11"/>
  <c r="J132" i="11"/>
  <c r="M132" i="11"/>
  <c r="O132" i="11"/>
  <c r="P132" i="11"/>
  <c r="J133" i="11"/>
  <c r="M133" i="11"/>
  <c r="O133" i="11"/>
  <c r="P133" i="11"/>
  <c r="J134" i="11"/>
  <c r="M134" i="11"/>
  <c r="O134" i="11"/>
  <c r="P134" i="11"/>
  <c r="J135" i="11"/>
  <c r="M135" i="11"/>
  <c r="O135" i="11"/>
  <c r="P135" i="11"/>
  <c r="J136" i="11"/>
  <c r="M136" i="11"/>
  <c r="O136" i="11"/>
  <c r="P136" i="11"/>
  <c r="J137" i="11"/>
  <c r="M137" i="11"/>
  <c r="O137" i="11"/>
  <c r="P137" i="11"/>
  <c r="J138" i="11"/>
  <c r="M138" i="11"/>
  <c r="O138" i="11"/>
  <c r="P138" i="11"/>
  <c r="J139" i="11"/>
  <c r="M139" i="11"/>
  <c r="O139" i="11"/>
  <c r="P139" i="11"/>
  <c r="J140" i="11"/>
  <c r="M140" i="11"/>
  <c r="O140" i="11"/>
  <c r="P140" i="11"/>
  <c r="J141" i="11"/>
  <c r="M141" i="11"/>
  <c r="O141" i="11"/>
  <c r="P141" i="11"/>
  <c r="J142" i="11"/>
  <c r="M142" i="11"/>
  <c r="O142" i="11"/>
  <c r="P142" i="11"/>
  <c r="J143" i="11"/>
  <c r="M143" i="11"/>
  <c r="O143" i="11"/>
  <c r="P143" i="11"/>
  <c r="J144" i="11"/>
  <c r="M144" i="11"/>
  <c r="O144" i="11"/>
  <c r="P144" i="11"/>
  <c r="J145" i="11"/>
  <c r="M145" i="11"/>
  <c r="O145" i="11"/>
  <c r="P145" i="11"/>
  <c r="J146" i="11"/>
  <c r="M146" i="11"/>
  <c r="O146" i="11"/>
  <c r="P146" i="11"/>
  <c r="J147" i="11"/>
  <c r="M147" i="11"/>
  <c r="O147" i="11"/>
  <c r="P147" i="11"/>
  <c r="J148" i="11"/>
  <c r="M148" i="11"/>
  <c r="O148" i="11"/>
  <c r="P148" i="11"/>
  <c r="J149" i="11"/>
  <c r="M149" i="11"/>
  <c r="O149" i="11"/>
  <c r="P149" i="11"/>
  <c r="J150" i="11"/>
  <c r="M150" i="11"/>
  <c r="O150" i="11"/>
  <c r="P150" i="11"/>
  <c r="J151" i="11"/>
  <c r="M151" i="11"/>
  <c r="O151" i="11"/>
  <c r="P151" i="11"/>
  <c r="J152" i="11"/>
  <c r="M152" i="11"/>
  <c r="O152" i="11"/>
  <c r="P152" i="11"/>
  <c r="J153" i="11"/>
  <c r="M153" i="11"/>
  <c r="O153" i="11"/>
  <c r="P153" i="11"/>
  <c r="J154" i="11"/>
  <c r="M154" i="11"/>
  <c r="O154" i="11"/>
  <c r="P154" i="11"/>
  <c r="I11" i="10"/>
  <c r="K11" i="10"/>
  <c r="I17" i="10"/>
  <c r="L17" i="10"/>
  <c r="N17" i="10"/>
  <c r="O17" i="10" s="1"/>
  <c r="I18" i="10"/>
  <c r="L18" i="10"/>
  <c r="N18" i="10"/>
  <c r="I19" i="10"/>
  <c r="L19" i="10"/>
  <c r="N19" i="10"/>
  <c r="O19" i="10" s="1"/>
  <c r="I20" i="10"/>
  <c r="L20" i="10"/>
  <c r="N20" i="10"/>
  <c r="I21" i="10"/>
  <c r="L21" i="10"/>
  <c r="N21" i="10"/>
  <c r="O21" i="10" s="1"/>
  <c r="I22" i="10"/>
  <c r="L22" i="10"/>
  <c r="N22" i="10"/>
  <c r="O22" i="10"/>
  <c r="L23" i="10"/>
  <c r="N23" i="10"/>
  <c r="O23" i="10" s="1"/>
  <c r="L30" i="10"/>
  <c r="N30" i="10"/>
  <c r="O30" i="10" s="1"/>
  <c r="L31" i="10"/>
  <c r="N31" i="10"/>
  <c r="L32" i="10"/>
  <c r="O32" i="10" s="1"/>
  <c r="N32" i="10"/>
  <c r="L33" i="10"/>
  <c r="N33" i="10"/>
  <c r="L34" i="10"/>
  <c r="N34" i="10"/>
  <c r="L35" i="10"/>
  <c r="O35" i="10"/>
  <c r="N35" i="10"/>
  <c r="L36" i="10"/>
  <c r="N36" i="10"/>
  <c r="L37" i="10"/>
  <c r="N37" i="10"/>
  <c r="O37" i="10" s="1"/>
  <c r="L38" i="10"/>
  <c r="N38" i="10"/>
  <c r="L39" i="10"/>
  <c r="N39" i="10"/>
  <c r="L40" i="10"/>
  <c r="N40" i="10"/>
  <c r="O40" i="10" s="1"/>
  <c r="L41" i="10"/>
  <c r="N41" i="10"/>
  <c r="L42" i="10"/>
  <c r="N42" i="10"/>
  <c r="L43" i="10"/>
  <c r="N43" i="10"/>
  <c r="L44" i="10"/>
  <c r="N44" i="10"/>
  <c r="O44" i="10" s="1"/>
  <c r="L45" i="10"/>
  <c r="N45" i="10"/>
  <c r="L46" i="10"/>
  <c r="N46" i="10"/>
  <c r="L47" i="10"/>
  <c r="N47" i="10"/>
  <c r="L48" i="10"/>
  <c r="N48" i="10"/>
  <c r="O48" i="10" s="1"/>
  <c r="L49" i="10"/>
  <c r="N49" i="10"/>
  <c r="L50" i="10"/>
  <c r="N50" i="10"/>
  <c r="L51" i="10"/>
  <c r="N51" i="10"/>
  <c r="L52" i="10"/>
  <c r="N52" i="10"/>
  <c r="L53" i="10"/>
  <c r="N53" i="10"/>
  <c r="L54" i="10"/>
  <c r="N54" i="10"/>
  <c r="O54" i="10" s="1"/>
  <c r="L55" i="10"/>
  <c r="N55" i="10"/>
  <c r="L56" i="10"/>
  <c r="N56" i="10"/>
  <c r="O56" i="10" s="1"/>
  <c r="L57" i="10"/>
  <c r="N57" i="10"/>
  <c r="O57" i="10" s="1"/>
  <c r="L58" i="10"/>
  <c r="N58" i="10"/>
  <c r="L59" i="10"/>
  <c r="N59" i="10"/>
  <c r="L60" i="10"/>
  <c r="N60" i="10"/>
  <c r="L61" i="10"/>
  <c r="N61" i="10"/>
  <c r="L62" i="10"/>
  <c r="N62" i="10"/>
  <c r="L63" i="10"/>
  <c r="N63" i="10"/>
  <c r="O63" i="10" s="1"/>
  <c r="L64" i="10"/>
  <c r="N64" i="10"/>
  <c r="O64" i="10" s="1"/>
  <c r="L65" i="10"/>
  <c r="N65" i="10"/>
  <c r="L66" i="10"/>
  <c r="N66" i="10"/>
  <c r="O66" i="10" s="1"/>
  <c r="L67" i="10"/>
  <c r="N67" i="10"/>
  <c r="L68" i="10"/>
  <c r="N68" i="10"/>
  <c r="L69" i="10"/>
  <c r="N69" i="10"/>
  <c r="L70" i="10"/>
  <c r="N70" i="10"/>
  <c r="L71" i="10"/>
  <c r="N71" i="10"/>
  <c r="L72" i="10"/>
  <c r="N72" i="10"/>
  <c r="D89" i="10"/>
  <c r="D91" i="10"/>
  <c r="J93" i="10"/>
  <c r="L93" i="10"/>
  <c r="D96" i="10"/>
  <c r="J99" i="10"/>
  <c r="M99" i="10"/>
  <c r="O99" i="10"/>
  <c r="P99" i="10"/>
  <c r="J100" i="10"/>
  <c r="M100" i="10"/>
  <c r="O100" i="10"/>
  <c r="P100" i="10" s="1"/>
  <c r="J101" i="10"/>
  <c r="M101" i="10"/>
  <c r="O101" i="10"/>
  <c r="P101" i="10"/>
  <c r="J102" i="10"/>
  <c r="M102" i="10"/>
  <c r="O102" i="10"/>
  <c r="P102" i="10" s="1"/>
  <c r="J103" i="10"/>
  <c r="M103" i="10"/>
  <c r="O103" i="10"/>
  <c r="P103" i="10"/>
  <c r="M104" i="10"/>
  <c r="O104" i="10"/>
  <c r="M110" i="10"/>
  <c r="O110" i="10"/>
  <c r="P110" i="10" s="1"/>
  <c r="M111" i="10"/>
  <c r="O111" i="10"/>
  <c r="M112" i="10"/>
  <c r="O112" i="10"/>
  <c r="P112" i="10" s="1"/>
  <c r="M113" i="10"/>
  <c r="O113" i="10"/>
  <c r="M114" i="10"/>
  <c r="O114" i="10"/>
  <c r="P114" i="10" s="1"/>
  <c r="M115" i="10"/>
  <c r="O115" i="10"/>
  <c r="M116" i="10"/>
  <c r="P116" i="10"/>
  <c r="O116" i="10"/>
  <c r="M117" i="10"/>
  <c r="P117" i="10" s="1"/>
  <c r="O117" i="10"/>
  <c r="M118" i="10"/>
  <c r="O118" i="10"/>
  <c r="M119" i="10"/>
  <c r="O119" i="10"/>
  <c r="M120" i="10"/>
  <c r="P120" i="10" s="1"/>
  <c r="O120" i="10"/>
  <c r="M121" i="10"/>
  <c r="O121" i="10"/>
  <c r="M122" i="10"/>
  <c r="O122" i="10"/>
  <c r="M123" i="10"/>
  <c r="O123" i="10"/>
  <c r="M124" i="10"/>
  <c r="O124" i="10"/>
  <c r="M125" i="10"/>
  <c r="O125" i="10"/>
  <c r="M126" i="10"/>
  <c r="O126" i="10"/>
  <c r="M127" i="10"/>
  <c r="O127" i="10"/>
  <c r="M128" i="10"/>
  <c r="O128" i="10"/>
  <c r="M129" i="10"/>
  <c r="O129" i="10"/>
  <c r="M130" i="10"/>
  <c r="O130" i="10"/>
  <c r="M131" i="10"/>
  <c r="P131" i="10" s="1"/>
  <c r="O131" i="10"/>
  <c r="M132" i="10"/>
  <c r="O132" i="10"/>
  <c r="M133" i="10"/>
  <c r="O133" i="10"/>
  <c r="M134" i="10"/>
  <c r="O134" i="10"/>
  <c r="P134" i="10"/>
  <c r="M135" i="10"/>
  <c r="O135" i="10"/>
  <c r="M136" i="10"/>
  <c r="O136" i="10"/>
  <c r="M137" i="10"/>
  <c r="O137" i="10"/>
  <c r="M138" i="10"/>
  <c r="O138" i="10"/>
  <c r="M139" i="10"/>
  <c r="O139" i="10"/>
  <c r="M140" i="10"/>
  <c r="O140" i="10"/>
  <c r="P140" i="10" s="1"/>
  <c r="M141" i="10"/>
  <c r="O141" i="10"/>
  <c r="P141" i="10" s="1"/>
  <c r="M142" i="10"/>
  <c r="O142" i="10"/>
  <c r="M143" i="10"/>
  <c r="O143" i="10"/>
  <c r="P143" i="10" s="1"/>
  <c r="M144" i="10"/>
  <c r="O144" i="10"/>
  <c r="M145" i="10"/>
  <c r="O145" i="10"/>
  <c r="P145" i="10" s="1"/>
  <c r="M146" i="10"/>
  <c r="O146" i="10"/>
  <c r="P146" i="10" s="1"/>
  <c r="M147" i="10"/>
  <c r="O147" i="10"/>
  <c r="P147" i="10" s="1"/>
  <c r="M148" i="10"/>
  <c r="O148" i="10"/>
  <c r="P148" i="10" s="1"/>
  <c r="M149" i="10"/>
  <c r="O149" i="10"/>
  <c r="M150" i="10"/>
  <c r="O150" i="10"/>
  <c r="M151" i="10"/>
  <c r="O151" i="10"/>
  <c r="M152" i="10"/>
  <c r="O152" i="10"/>
  <c r="P152" i="10" s="1"/>
  <c r="M153" i="10"/>
  <c r="O153" i="10"/>
  <c r="P153" i="10" s="1"/>
  <c r="M154" i="10"/>
  <c r="O154" i="10"/>
  <c r="I11" i="9"/>
  <c r="K11" i="9"/>
  <c r="I17" i="9"/>
  <c r="L17" i="9"/>
  <c r="N17" i="9"/>
  <c r="O17" i="9" s="1"/>
  <c r="I18" i="9"/>
  <c r="L18" i="9"/>
  <c r="O18" i="9" s="1"/>
  <c r="N18" i="9"/>
  <c r="I19" i="9"/>
  <c r="L19" i="9"/>
  <c r="N19" i="9"/>
  <c r="O19" i="9" s="1"/>
  <c r="I21" i="9"/>
  <c r="L21" i="9"/>
  <c r="O21" i="9" s="1"/>
  <c r="N21" i="9"/>
  <c r="L22" i="9"/>
  <c r="O22" i="9"/>
  <c r="N22" i="9"/>
  <c r="L29" i="9"/>
  <c r="N29" i="9"/>
  <c r="O29" i="9" s="1"/>
  <c r="L30" i="9"/>
  <c r="N30" i="9"/>
  <c r="L31" i="9"/>
  <c r="O31" i="9"/>
  <c r="N31" i="9"/>
  <c r="L32" i="9"/>
  <c r="N32" i="9"/>
  <c r="L33" i="9"/>
  <c r="N33" i="9"/>
  <c r="L34" i="9"/>
  <c r="N34" i="9"/>
  <c r="O34" i="9" s="1"/>
  <c r="L35" i="9"/>
  <c r="N35" i="9"/>
  <c r="O35" i="9"/>
  <c r="L36" i="9"/>
  <c r="O36" i="9" s="1"/>
  <c r="N36" i="9"/>
  <c r="L37" i="9"/>
  <c r="O37" i="9"/>
  <c r="N37" i="9"/>
  <c r="L38" i="9"/>
  <c r="N38" i="9"/>
  <c r="O38" i="9" s="1"/>
  <c r="L39" i="9"/>
  <c r="N39" i="9"/>
  <c r="L40" i="9"/>
  <c r="O40" i="9"/>
  <c r="N40" i="9"/>
  <c r="L41" i="9"/>
  <c r="N41" i="9"/>
  <c r="L42" i="9"/>
  <c r="N42" i="9"/>
  <c r="O42" i="9" s="1"/>
  <c r="L43" i="9"/>
  <c r="N43" i="9"/>
  <c r="L44" i="9"/>
  <c r="N44" i="9"/>
  <c r="O44" i="9" s="1"/>
  <c r="L45" i="9"/>
  <c r="N45" i="9"/>
  <c r="L46" i="9"/>
  <c r="N46" i="9"/>
  <c r="O46" i="9"/>
  <c r="L47" i="9"/>
  <c r="N47" i="9"/>
  <c r="O47" i="9"/>
  <c r="L48" i="9"/>
  <c r="N48" i="9"/>
  <c r="L49" i="9"/>
  <c r="N49" i="9"/>
  <c r="O49" i="9"/>
  <c r="L50" i="9"/>
  <c r="N50" i="9"/>
  <c r="L51" i="9"/>
  <c r="N51" i="9"/>
  <c r="O51" i="9" s="1"/>
  <c r="L52" i="9"/>
  <c r="N52" i="9"/>
  <c r="L53" i="9"/>
  <c r="N53" i="9"/>
  <c r="O53" i="9" s="1"/>
  <c r="L54" i="9"/>
  <c r="N54" i="9"/>
  <c r="L55" i="9"/>
  <c r="N55" i="9"/>
  <c r="O55" i="9"/>
  <c r="L56" i="9"/>
  <c r="N56" i="9"/>
  <c r="L57" i="9"/>
  <c r="N57" i="9"/>
  <c r="L58" i="9"/>
  <c r="N58" i="9"/>
  <c r="L59" i="9"/>
  <c r="N59" i="9"/>
  <c r="L60" i="9"/>
  <c r="N60" i="9"/>
  <c r="L61" i="9"/>
  <c r="N61" i="9"/>
  <c r="O61" i="9" s="1"/>
  <c r="L62" i="9"/>
  <c r="N62" i="9"/>
  <c r="L63" i="9"/>
  <c r="N63" i="9"/>
  <c r="L64" i="9"/>
  <c r="N64" i="9"/>
  <c r="O64" i="9"/>
  <c r="L65" i="9"/>
  <c r="N65" i="9"/>
  <c r="O65" i="9" s="1"/>
  <c r="L66" i="9"/>
  <c r="N66" i="9"/>
  <c r="L67" i="9"/>
  <c r="N67" i="9"/>
  <c r="O67" i="9" s="1"/>
  <c r="L68" i="9"/>
  <c r="N68" i="9"/>
  <c r="O68" i="9" s="1"/>
  <c r="L69" i="9"/>
  <c r="O69" i="9"/>
  <c r="N69" i="9"/>
  <c r="L70" i="9"/>
  <c r="N70" i="9"/>
  <c r="O70" i="9"/>
  <c r="L71" i="9"/>
  <c r="N71" i="9"/>
  <c r="L72" i="9"/>
  <c r="N72" i="9"/>
  <c r="D89" i="9"/>
  <c r="D91" i="9"/>
  <c r="J93" i="9"/>
  <c r="L93" i="9"/>
  <c r="D96" i="9"/>
  <c r="J99" i="9"/>
  <c r="M99" i="9"/>
  <c r="O99" i="9"/>
  <c r="P99" i="9" s="1"/>
  <c r="J100" i="9"/>
  <c r="M100" i="9"/>
  <c r="O100" i="9"/>
  <c r="P100" i="9" s="1"/>
  <c r="J101" i="9"/>
  <c r="M101" i="9"/>
  <c r="O101" i="9"/>
  <c r="P101" i="9" s="1"/>
  <c r="J102" i="9"/>
  <c r="O102" i="9"/>
  <c r="P102" i="9" s="1"/>
  <c r="M103" i="9"/>
  <c r="O103" i="9"/>
  <c r="P103" i="9" s="1"/>
  <c r="M109" i="9"/>
  <c r="O109" i="9"/>
  <c r="P109" i="9" s="1"/>
  <c r="M110" i="9"/>
  <c r="O110" i="9"/>
  <c r="P110" i="9" s="1"/>
  <c r="M111" i="9"/>
  <c r="O111" i="9"/>
  <c r="P111" i="9" s="1"/>
  <c r="M112" i="9"/>
  <c r="O112" i="9"/>
  <c r="M113" i="9"/>
  <c r="O113" i="9"/>
  <c r="M114" i="9"/>
  <c r="P114" i="9" s="1"/>
  <c r="O114" i="9"/>
  <c r="M115" i="9"/>
  <c r="O115" i="9"/>
  <c r="M116" i="9"/>
  <c r="O116" i="9"/>
  <c r="M117" i="9"/>
  <c r="O117" i="9"/>
  <c r="P117" i="9" s="1"/>
  <c r="M118" i="9"/>
  <c r="O118" i="9"/>
  <c r="M119" i="9"/>
  <c r="O119" i="9"/>
  <c r="M120" i="9"/>
  <c r="O120" i="9"/>
  <c r="M121" i="9"/>
  <c r="O121" i="9"/>
  <c r="P121" i="9" s="1"/>
  <c r="M122" i="9"/>
  <c r="O122" i="9"/>
  <c r="M123" i="9"/>
  <c r="O123" i="9"/>
  <c r="M124" i="9"/>
  <c r="O124" i="9"/>
  <c r="M125" i="9"/>
  <c r="O125" i="9"/>
  <c r="P125" i="9" s="1"/>
  <c r="M126" i="9"/>
  <c r="O126" i="9"/>
  <c r="M127" i="9"/>
  <c r="O127" i="9"/>
  <c r="M128" i="9"/>
  <c r="O128" i="9"/>
  <c r="M129" i="9"/>
  <c r="O129" i="9"/>
  <c r="P129" i="9" s="1"/>
  <c r="M130" i="9"/>
  <c r="O130" i="9"/>
  <c r="J131" i="9"/>
  <c r="M131" i="9"/>
  <c r="O131" i="9"/>
  <c r="P131" i="9"/>
  <c r="J132" i="9"/>
  <c r="M132" i="9"/>
  <c r="O132" i="9"/>
  <c r="P132" i="9"/>
  <c r="J133" i="9"/>
  <c r="M133" i="9"/>
  <c r="O133" i="9"/>
  <c r="P133" i="9"/>
  <c r="J134" i="9"/>
  <c r="M134" i="9"/>
  <c r="O134" i="9"/>
  <c r="P134" i="9"/>
  <c r="J135" i="9"/>
  <c r="M135" i="9"/>
  <c r="O135" i="9"/>
  <c r="P135" i="9"/>
  <c r="J136" i="9"/>
  <c r="M136" i="9"/>
  <c r="O136" i="9"/>
  <c r="P136" i="9"/>
  <c r="J137" i="9"/>
  <c r="M137" i="9"/>
  <c r="O137" i="9"/>
  <c r="P137" i="9"/>
  <c r="J138" i="9"/>
  <c r="M138" i="9"/>
  <c r="O138" i="9"/>
  <c r="P138" i="9"/>
  <c r="J139" i="9"/>
  <c r="M139" i="9"/>
  <c r="O139" i="9"/>
  <c r="P139" i="9"/>
  <c r="J140" i="9"/>
  <c r="M140" i="9"/>
  <c r="O140" i="9"/>
  <c r="P140" i="9"/>
  <c r="J141" i="9"/>
  <c r="M141" i="9"/>
  <c r="O141" i="9"/>
  <c r="P141" i="9"/>
  <c r="J142" i="9"/>
  <c r="M142" i="9"/>
  <c r="O142" i="9"/>
  <c r="P142" i="9"/>
  <c r="J143" i="9"/>
  <c r="M143" i="9"/>
  <c r="O143" i="9"/>
  <c r="P143" i="9"/>
  <c r="J144" i="9"/>
  <c r="M144" i="9"/>
  <c r="O144" i="9"/>
  <c r="P144" i="9"/>
  <c r="J145" i="9"/>
  <c r="M145" i="9"/>
  <c r="O145" i="9"/>
  <c r="P145" i="9"/>
  <c r="J146" i="9"/>
  <c r="M146" i="9"/>
  <c r="O146" i="9"/>
  <c r="P146" i="9"/>
  <c r="J147" i="9"/>
  <c r="M147" i="9"/>
  <c r="O147" i="9"/>
  <c r="P147" i="9"/>
  <c r="J148" i="9"/>
  <c r="M148" i="9"/>
  <c r="O148" i="9"/>
  <c r="P148" i="9"/>
  <c r="J149" i="9"/>
  <c r="M149" i="9"/>
  <c r="O149" i="9"/>
  <c r="P149" i="9"/>
  <c r="J150" i="9"/>
  <c r="M150" i="9"/>
  <c r="O150" i="9"/>
  <c r="P150" i="9"/>
  <c r="J151" i="9"/>
  <c r="M151" i="9"/>
  <c r="O151" i="9"/>
  <c r="P151" i="9"/>
  <c r="J152" i="9"/>
  <c r="M152" i="9"/>
  <c r="O152" i="9"/>
  <c r="P152" i="9"/>
  <c r="J153" i="9"/>
  <c r="M153" i="9"/>
  <c r="O153" i="9"/>
  <c r="P153" i="9"/>
  <c r="J154" i="9"/>
  <c r="M154" i="9"/>
  <c r="O154" i="9"/>
  <c r="P154" i="9"/>
  <c r="I11" i="8"/>
  <c r="K11" i="8"/>
  <c r="I17" i="8"/>
  <c r="L17" i="8"/>
  <c r="N17" i="8"/>
  <c r="I18" i="8"/>
  <c r="L18" i="8"/>
  <c r="N18" i="8"/>
  <c r="O18" i="8" s="1"/>
  <c r="I19" i="8"/>
  <c r="L19" i="8"/>
  <c r="N19" i="8"/>
  <c r="O19" i="8" s="1"/>
  <c r="I20" i="8"/>
  <c r="L20" i="8"/>
  <c r="N20" i="8"/>
  <c r="O20" i="8" s="1"/>
  <c r="L21" i="8"/>
  <c r="N21" i="8"/>
  <c r="O21" i="8" s="1"/>
  <c r="L28" i="8"/>
  <c r="N28" i="8"/>
  <c r="L29" i="8"/>
  <c r="O29" i="8"/>
  <c r="N29" i="8"/>
  <c r="L30" i="8"/>
  <c r="N30" i="8"/>
  <c r="L31" i="8"/>
  <c r="N31" i="8"/>
  <c r="L32" i="8"/>
  <c r="N32" i="8"/>
  <c r="O32" i="8" s="1"/>
  <c r="L33" i="8"/>
  <c r="N33" i="8"/>
  <c r="L34" i="8"/>
  <c r="N34" i="8"/>
  <c r="L35" i="8"/>
  <c r="N35" i="8"/>
  <c r="L36" i="8"/>
  <c r="N36" i="8"/>
  <c r="L37" i="8"/>
  <c r="O37" i="8"/>
  <c r="N37" i="8"/>
  <c r="L38" i="8"/>
  <c r="N38" i="8"/>
  <c r="L39" i="8"/>
  <c r="N39" i="8"/>
  <c r="L40" i="8"/>
  <c r="N40" i="8"/>
  <c r="O40" i="8" s="1"/>
  <c r="L41" i="8"/>
  <c r="N41" i="8"/>
  <c r="L42" i="8"/>
  <c r="N42" i="8"/>
  <c r="L43" i="8"/>
  <c r="N43" i="8"/>
  <c r="L44" i="8"/>
  <c r="N44" i="8"/>
  <c r="L45" i="8"/>
  <c r="N45" i="8"/>
  <c r="L46" i="8"/>
  <c r="N46" i="8"/>
  <c r="L47" i="8"/>
  <c r="O47" i="8"/>
  <c r="N47" i="8"/>
  <c r="L48" i="8"/>
  <c r="N48" i="8"/>
  <c r="L49" i="8"/>
  <c r="O49" i="8"/>
  <c r="N49" i="8"/>
  <c r="L50" i="8"/>
  <c r="N50" i="8"/>
  <c r="L51" i="8"/>
  <c r="O51" i="8"/>
  <c r="N51" i="8"/>
  <c r="L52" i="8"/>
  <c r="N52" i="8"/>
  <c r="L53" i="8"/>
  <c r="N53" i="8"/>
  <c r="L54" i="8"/>
  <c r="O54" i="8" s="1"/>
  <c r="N54" i="8"/>
  <c r="L55" i="8"/>
  <c r="N55" i="8"/>
  <c r="L56" i="8"/>
  <c r="N56" i="8"/>
  <c r="O56" i="8"/>
  <c r="L57" i="8"/>
  <c r="N57" i="8"/>
  <c r="L58" i="8"/>
  <c r="N58" i="8"/>
  <c r="O58" i="8" s="1"/>
  <c r="L59" i="8"/>
  <c r="N59" i="8"/>
  <c r="L60" i="8"/>
  <c r="N60" i="8"/>
  <c r="O60" i="8" s="1"/>
  <c r="L61" i="8"/>
  <c r="N61" i="8"/>
  <c r="L62" i="8"/>
  <c r="N62" i="8"/>
  <c r="L63" i="8"/>
  <c r="N63" i="8"/>
  <c r="O63" i="8"/>
  <c r="L64" i="8"/>
  <c r="N64" i="8"/>
  <c r="L65" i="8"/>
  <c r="N65" i="8"/>
  <c r="L66" i="8"/>
  <c r="N66" i="8"/>
  <c r="O66" i="8"/>
  <c r="L67" i="8"/>
  <c r="N67" i="8"/>
  <c r="L68" i="8"/>
  <c r="N68" i="8"/>
  <c r="O68" i="8" s="1"/>
  <c r="L69" i="8"/>
  <c r="N69" i="8"/>
  <c r="L70" i="8"/>
  <c r="O70" i="8"/>
  <c r="N70" i="8"/>
  <c r="L71" i="8"/>
  <c r="N71" i="8"/>
  <c r="L72" i="8"/>
  <c r="N72" i="8"/>
  <c r="D89" i="8"/>
  <c r="D91" i="8"/>
  <c r="J93" i="8"/>
  <c r="L93" i="8"/>
  <c r="D96" i="8"/>
  <c r="J99" i="8"/>
  <c r="M99" i="8"/>
  <c r="O99" i="8"/>
  <c r="P99" i="8"/>
  <c r="J100" i="8"/>
  <c r="M100" i="8"/>
  <c r="O100" i="8"/>
  <c r="P100" i="8" s="1"/>
  <c r="J101" i="8"/>
  <c r="M101" i="8"/>
  <c r="O101" i="8"/>
  <c r="P101" i="8"/>
  <c r="O102" i="8"/>
  <c r="P102" i="8"/>
  <c r="M108" i="8"/>
  <c r="O108" i="8"/>
  <c r="M109" i="8"/>
  <c r="O109" i="8"/>
  <c r="M110" i="8"/>
  <c r="P110" i="8" s="1"/>
  <c r="O110" i="8"/>
  <c r="M111" i="8"/>
  <c r="O111" i="8"/>
  <c r="P111" i="8" s="1"/>
  <c r="M112" i="8"/>
  <c r="O112" i="8"/>
  <c r="M113" i="8"/>
  <c r="O113" i="8"/>
  <c r="P113" i="8" s="1"/>
  <c r="M114" i="8"/>
  <c r="O114" i="8"/>
  <c r="M115" i="8"/>
  <c r="O115" i="8"/>
  <c r="P115" i="8" s="1"/>
  <c r="M116" i="8"/>
  <c r="O116" i="8"/>
  <c r="M117" i="8"/>
  <c r="O117" i="8"/>
  <c r="P117" i="8" s="1"/>
  <c r="M118" i="8"/>
  <c r="O118" i="8"/>
  <c r="M119" i="8"/>
  <c r="O119" i="8"/>
  <c r="P119" i="8" s="1"/>
  <c r="M120" i="8"/>
  <c r="O120" i="8"/>
  <c r="M121" i="8"/>
  <c r="O121" i="8"/>
  <c r="P121" i="8" s="1"/>
  <c r="M122" i="8"/>
  <c r="O122" i="8"/>
  <c r="M123" i="8"/>
  <c r="P123" i="8" s="1"/>
  <c r="O123" i="8"/>
  <c r="M124" i="8"/>
  <c r="O124" i="8"/>
  <c r="M125" i="8"/>
  <c r="O125" i="8"/>
  <c r="M126" i="8"/>
  <c r="O126" i="8"/>
  <c r="M127" i="8"/>
  <c r="O127" i="8"/>
  <c r="M128" i="8"/>
  <c r="O128" i="8"/>
  <c r="M129" i="8"/>
  <c r="O129" i="8"/>
  <c r="P129" i="8"/>
  <c r="M130" i="8"/>
  <c r="O130" i="8"/>
  <c r="M131" i="8"/>
  <c r="O131" i="8"/>
  <c r="P131" i="8" s="1"/>
  <c r="M132" i="8"/>
  <c r="O132" i="8"/>
  <c r="M133" i="8"/>
  <c r="O133" i="8"/>
  <c r="P133" i="8" s="1"/>
  <c r="M134" i="8"/>
  <c r="O134" i="8"/>
  <c r="M135" i="8"/>
  <c r="O135" i="8"/>
  <c r="P135" i="8" s="1"/>
  <c r="M136" i="8"/>
  <c r="O136" i="8"/>
  <c r="P136" i="8" s="1"/>
  <c r="M137" i="8"/>
  <c r="O137" i="8"/>
  <c r="M138" i="8"/>
  <c r="O138" i="8"/>
  <c r="P138" i="8" s="1"/>
  <c r="M139" i="8"/>
  <c r="O139" i="8"/>
  <c r="P139" i="8" s="1"/>
  <c r="M140" i="8"/>
  <c r="O140" i="8"/>
  <c r="M141" i="8"/>
  <c r="O141" i="8"/>
  <c r="P141" i="8" s="1"/>
  <c r="M142" i="8"/>
  <c r="O142" i="8"/>
  <c r="P142" i="8" s="1"/>
  <c r="M143" i="8"/>
  <c r="O143" i="8"/>
  <c r="P143" i="8" s="1"/>
  <c r="M144" i="8"/>
  <c r="O144" i="8"/>
  <c r="P144" i="8" s="1"/>
  <c r="M145" i="8"/>
  <c r="O145" i="8"/>
  <c r="P145" i="8" s="1"/>
  <c r="M146" i="8"/>
  <c r="O146" i="8"/>
  <c r="P146" i="8" s="1"/>
  <c r="M147" i="8"/>
  <c r="O147" i="8"/>
  <c r="P147" i="8" s="1"/>
  <c r="M148" i="8"/>
  <c r="O148" i="8"/>
  <c r="P148" i="8" s="1"/>
  <c r="M149" i="8"/>
  <c r="O149" i="8"/>
  <c r="M150" i="8"/>
  <c r="O150" i="8"/>
  <c r="P150" i="8" s="1"/>
  <c r="M151" i="8"/>
  <c r="O151" i="8"/>
  <c r="P151" i="8" s="1"/>
  <c r="M152" i="8"/>
  <c r="O152" i="8"/>
  <c r="M153" i="8"/>
  <c r="O153" i="8"/>
  <c r="P153" i="8" s="1"/>
  <c r="M154" i="8"/>
  <c r="O154" i="8"/>
  <c r="I11" i="7"/>
  <c r="K11" i="7"/>
  <c r="I17" i="7"/>
  <c r="L17" i="7"/>
  <c r="N17" i="7"/>
  <c r="O17" i="7" s="1"/>
  <c r="I18" i="7"/>
  <c r="N18" i="7"/>
  <c r="O18" i="7"/>
  <c r="I19" i="7"/>
  <c r="L19" i="7"/>
  <c r="N19" i="7"/>
  <c r="O19" i="7" s="1"/>
  <c r="I20" i="7"/>
  <c r="L20" i="7"/>
  <c r="N20" i="7"/>
  <c r="O20" i="7" s="1"/>
  <c r="I21" i="7"/>
  <c r="L21" i="7"/>
  <c r="I22" i="7"/>
  <c r="L22" i="7"/>
  <c r="N22" i="7"/>
  <c r="O22" i="7" s="1"/>
  <c r="L23" i="7"/>
  <c r="N23" i="7"/>
  <c r="O23" i="7" s="1"/>
  <c r="L30" i="7"/>
  <c r="N30" i="7"/>
  <c r="L31" i="7"/>
  <c r="N31" i="7"/>
  <c r="L32" i="7"/>
  <c r="N32" i="7"/>
  <c r="L33" i="7"/>
  <c r="O33" i="7" s="1"/>
  <c r="N33" i="7"/>
  <c r="L34" i="7"/>
  <c r="N34" i="7"/>
  <c r="O34" i="7" s="1"/>
  <c r="L35" i="7"/>
  <c r="N35" i="7"/>
  <c r="L36" i="7"/>
  <c r="N36" i="7"/>
  <c r="L37" i="7"/>
  <c r="N37" i="7"/>
  <c r="O37" i="7" s="1"/>
  <c r="L38" i="7"/>
  <c r="N38" i="7"/>
  <c r="L39" i="7"/>
  <c r="N39" i="7"/>
  <c r="O39" i="7" s="1"/>
  <c r="L40" i="7"/>
  <c r="N40" i="7"/>
  <c r="L41" i="7"/>
  <c r="N41" i="7"/>
  <c r="O41" i="7"/>
  <c r="L42" i="7"/>
  <c r="N42" i="7"/>
  <c r="L43" i="7"/>
  <c r="N43" i="7"/>
  <c r="L44" i="7"/>
  <c r="N44" i="7"/>
  <c r="O44" i="7" s="1"/>
  <c r="L45" i="7"/>
  <c r="N45" i="7"/>
  <c r="O45" i="7" s="1"/>
  <c r="L46" i="7"/>
  <c r="N46" i="7"/>
  <c r="L47" i="7"/>
  <c r="N47" i="7"/>
  <c r="L48" i="7"/>
  <c r="N48" i="7"/>
  <c r="O48" i="7"/>
  <c r="L49" i="7"/>
  <c r="N49" i="7"/>
  <c r="L50" i="7"/>
  <c r="N50" i="7"/>
  <c r="L51" i="7"/>
  <c r="N51" i="7"/>
  <c r="L52" i="7"/>
  <c r="N52" i="7"/>
  <c r="O52" i="7" s="1"/>
  <c r="L53" i="7"/>
  <c r="N53" i="7"/>
  <c r="O53" i="7" s="1"/>
  <c r="L54" i="7"/>
  <c r="N54" i="7"/>
  <c r="O54" i="7"/>
  <c r="L55" i="7"/>
  <c r="O55" i="7" s="1"/>
  <c r="N55" i="7"/>
  <c r="L56" i="7"/>
  <c r="N56" i="7"/>
  <c r="L57" i="7"/>
  <c r="N57" i="7"/>
  <c r="O57" i="7"/>
  <c r="L58" i="7"/>
  <c r="O58" i="7" s="1"/>
  <c r="N58" i="7"/>
  <c r="L59" i="7"/>
  <c r="N59" i="7"/>
  <c r="L60" i="7"/>
  <c r="N60" i="7"/>
  <c r="O60" i="7"/>
  <c r="L61" i="7"/>
  <c r="N61" i="7"/>
  <c r="L62" i="7"/>
  <c r="N62" i="7"/>
  <c r="O62" i="7" s="1"/>
  <c r="L63" i="7"/>
  <c r="N63" i="7"/>
  <c r="O63" i="7" s="1"/>
  <c r="L64" i="7"/>
  <c r="N64" i="7"/>
  <c r="O64" i="7"/>
  <c r="L65" i="7"/>
  <c r="N65" i="7"/>
  <c r="O65" i="7" s="1"/>
  <c r="L66" i="7"/>
  <c r="N66" i="7"/>
  <c r="L67" i="7"/>
  <c r="N67" i="7"/>
  <c r="O67" i="7"/>
  <c r="L68" i="7"/>
  <c r="O68" i="7"/>
  <c r="N68" i="7"/>
  <c r="L69" i="7"/>
  <c r="N69" i="7"/>
  <c r="O69" i="7" s="1"/>
  <c r="L70" i="7"/>
  <c r="N70" i="7"/>
  <c r="O70" i="7" s="1"/>
  <c r="L71" i="7"/>
  <c r="N71" i="7"/>
  <c r="O71" i="7"/>
  <c r="L72" i="7"/>
  <c r="N72" i="7"/>
  <c r="D89" i="7"/>
  <c r="D91" i="7"/>
  <c r="J93" i="7"/>
  <c r="L93" i="7"/>
  <c r="D96" i="7"/>
  <c r="J99" i="7"/>
  <c r="M99" i="7"/>
  <c r="P99" i="7" s="1"/>
  <c r="O99" i="7"/>
  <c r="J100" i="7"/>
  <c r="M100" i="7"/>
  <c r="P100" i="7"/>
  <c r="O100" i="7"/>
  <c r="J101" i="7"/>
  <c r="O101" i="7"/>
  <c r="P101" i="7" s="1"/>
  <c r="J102" i="7"/>
  <c r="O102" i="7"/>
  <c r="J103" i="7"/>
  <c r="M103" i="7"/>
  <c r="O103" i="7"/>
  <c r="P103" i="7"/>
  <c r="M104" i="7"/>
  <c r="O104" i="7"/>
  <c r="P104" i="7" s="1"/>
  <c r="M110" i="7"/>
  <c r="O110" i="7"/>
  <c r="M111" i="7"/>
  <c r="O111" i="7"/>
  <c r="P111" i="7" s="1"/>
  <c r="M112" i="7"/>
  <c r="O112" i="7"/>
  <c r="P112" i="7" s="1"/>
  <c r="M113" i="7"/>
  <c r="O113" i="7"/>
  <c r="M114" i="7"/>
  <c r="O114" i="7"/>
  <c r="M115" i="7"/>
  <c r="O115" i="7"/>
  <c r="M116" i="7"/>
  <c r="O116" i="7"/>
  <c r="M117" i="7"/>
  <c r="O117" i="7"/>
  <c r="M118" i="7"/>
  <c r="O118" i="7"/>
  <c r="M119" i="7"/>
  <c r="O119" i="7"/>
  <c r="M120" i="7"/>
  <c r="O120" i="7"/>
  <c r="M121" i="7"/>
  <c r="O121" i="7"/>
  <c r="M122" i="7"/>
  <c r="O122" i="7"/>
  <c r="M123" i="7"/>
  <c r="O123" i="7"/>
  <c r="P123" i="7" s="1"/>
  <c r="M124" i="7"/>
  <c r="O124" i="7"/>
  <c r="M125" i="7"/>
  <c r="O125" i="7"/>
  <c r="M126" i="7"/>
  <c r="O126" i="7"/>
  <c r="M127" i="7"/>
  <c r="O127" i="7"/>
  <c r="P127" i="7" s="1"/>
  <c r="M128" i="7"/>
  <c r="O128" i="7"/>
  <c r="P128" i="7" s="1"/>
  <c r="M129" i="7"/>
  <c r="O129" i="7"/>
  <c r="M130" i="7"/>
  <c r="O130" i="7"/>
  <c r="P130" i="7" s="1"/>
  <c r="M131" i="7"/>
  <c r="O131" i="7"/>
  <c r="M132" i="7"/>
  <c r="O132" i="7"/>
  <c r="M133" i="7"/>
  <c r="O133" i="7"/>
  <c r="P133" i="7" s="1"/>
  <c r="M134" i="7"/>
  <c r="O134" i="7"/>
  <c r="M135" i="7"/>
  <c r="O135" i="7"/>
  <c r="P135" i="7" s="1"/>
  <c r="M136" i="7"/>
  <c r="O136" i="7"/>
  <c r="P136" i="7" s="1"/>
  <c r="M137" i="7"/>
  <c r="O137" i="7"/>
  <c r="P137" i="7" s="1"/>
  <c r="M138" i="7"/>
  <c r="O138" i="7"/>
  <c r="M139" i="7"/>
  <c r="O139" i="7"/>
  <c r="M140" i="7"/>
  <c r="O140" i="7"/>
  <c r="M141" i="7"/>
  <c r="O141" i="7"/>
  <c r="M142" i="7"/>
  <c r="O142" i="7"/>
  <c r="P142" i="7" s="1"/>
  <c r="M143" i="7"/>
  <c r="O143" i="7"/>
  <c r="M144" i="7"/>
  <c r="O144" i="7"/>
  <c r="P144" i="7" s="1"/>
  <c r="M145" i="7"/>
  <c r="O145" i="7"/>
  <c r="P145" i="7" s="1"/>
  <c r="M146" i="7"/>
  <c r="O146" i="7"/>
  <c r="M147" i="7"/>
  <c r="O147" i="7"/>
  <c r="P147" i="7" s="1"/>
  <c r="M148" i="7"/>
  <c r="O148" i="7"/>
  <c r="P148" i="7" s="1"/>
  <c r="M149" i="7"/>
  <c r="O149" i="7"/>
  <c r="M150" i="7"/>
  <c r="O150" i="7"/>
  <c r="M151" i="7"/>
  <c r="O151" i="7"/>
  <c r="M152" i="7"/>
  <c r="O152" i="7"/>
  <c r="M153" i="7"/>
  <c r="O153" i="7"/>
  <c r="M154" i="7"/>
  <c r="O154" i="7"/>
  <c r="K11" i="6"/>
  <c r="I17" i="6"/>
  <c r="L17" i="6"/>
  <c r="N17" i="6"/>
  <c r="O17" i="6" s="1"/>
  <c r="I18" i="6"/>
  <c r="L18" i="6"/>
  <c r="N18" i="6"/>
  <c r="O18" i="6"/>
  <c r="L19" i="6"/>
  <c r="N19" i="6"/>
  <c r="O19" i="6" s="1"/>
  <c r="L20" i="6"/>
  <c r="N20" i="6"/>
  <c r="O20" i="6" s="1"/>
  <c r="L21" i="6"/>
  <c r="N21" i="6"/>
  <c r="O21" i="6" s="1"/>
  <c r="L28" i="6"/>
  <c r="N28" i="6"/>
  <c r="L29" i="6"/>
  <c r="N29" i="6"/>
  <c r="L30" i="6"/>
  <c r="N30" i="6"/>
  <c r="L31" i="6"/>
  <c r="O31" i="6" s="1"/>
  <c r="N31" i="6"/>
  <c r="L32" i="6"/>
  <c r="N32" i="6"/>
  <c r="L33" i="6"/>
  <c r="N33" i="6"/>
  <c r="O33" i="6" s="1"/>
  <c r="L34" i="6"/>
  <c r="N34" i="6"/>
  <c r="L35" i="6"/>
  <c r="N35" i="6"/>
  <c r="O35" i="6" s="1"/>
  <c r="L36" i="6"/>
  <c r="N36" i="6"/>
  <c r="O36" i="6"/>
  <c r="L37" i="6"/>
  <c r="N37" i="6"/>
  <c r="L38" i="6"/>
  <c r="N38" i="6"/>
  <c r="O38" i="6" s="1"/>
  <c r="L39" i="6"/>
  <c r="N39" i="6"/>
  <c r="O39" i="6"/>
  <c r="L40" i="6"/>
  <c r="N40" i="6"/>
  <c r="L41" i="6"/>
  <c r="N41" i="6"/>
  <c r="O41" i="6" s="1"/>
  <c r="L42" i="6"/>
  <c r="N42" i="6"/>
  <c r="O42" i="6"/>
  <c r="L43" i="6"/>
  <c r="N43" i="6"/>
  <c r="L44" i="6"/>
  <c r="N44" i="6"/>
  <c r="C53" i="6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L45" i="6"/>
  <c r="N45" i="6"/>
  <c r="L46" i="6"/>
  <c r="N46" i="6"/>
  <c r="L47" i="6"/>
  <c r="N47" i="6"/>
  <c r="L48" i="6"/>
  <c r="N48" i="6"/>
  <c r="O48" i="6"/>
  <c r="L49" i="6"/>
  <c r="N49" i="6"/>
  <c r="L50" i="6"/>
  <c r="N50" i="6"/>
  <c r="O50" i="6" s="1"/>
  <c r="L51" i="6"/>
  <c r="N51" i="6"/>
  <c r="O51" i="6"/>
  <c r="L52" i="6"/>
  <c r="N52" i="6"/>
  <c r="O52" i="6"/>
  <c r="L53" i="6"/>
  <c r="N53" i="6"/>
  <c r="L54" i="6"/>
  <c r="N54" i="6"/>
  <c r="O54" i="6"/>
  <c r="L55" i="6"/>
  <c r="N55" i="6"/>
  <c r="L56" i="6"/>
  <c r="N56" i="6"/>
  <c r="O56" i="6" s="1"/>
  <c r="L57" i="6"/>
  <c r="N57" i="6"/>
  <c r="L58" i="6"/>
  <c r="N58" i="6"/>
  <c r="L59" i="6"/>
  <c r="N59" i="6"/>
  <c r="L60" i="6"/>
  <c r="N60" i="6"/>
  <c r="O60" i="6" s="1"/>
  <c r="L61" i="6"/>
  <c r="N61" i="6"/>
  <c r="L62" i="6"/>
  <c r="N62" i="6"/>
  <c r="L63" i="6"/>
  <c r="N63" i="6"/>
  <c r="L64" i="6"/>
  <c r="N64" i="6"/>
  <c r="L65" i="6"/>
  <c r="N65" i="6"/>
  <c r="O65" i="6" s="1"/>
  <c r="L66" i="6"/>
  <c r="N66" i="6"/>
  <c r="L67" i="6"/>
  <c r="N67" i="6"/>
  <c r="O67" i="6"/>
  <c r="L68" i="6"/>
  <c r="N68" i="6"/>
  <c r="L69" i="6"/>
  <c r="N69" i="6"/>
  <c r="O69" i="6" s="1"/>
  <c r="L70" i="6"/>
  <c r="N70" i="6"/>
  <c r="O70" i="6"/>
  <c r="L71" i="6"/>
  <c r="N71" i="6"/>
  <c r="O71" i="6"/>
  <c r="L72" i="6"/>
  <c r="N72" i="6"/>
  <c r="D89" i="6"/>
  <c r="D91" i="6"/>
  <c r="J93" i="6"/>
  <c r="L93" i="6"/>
  <c r="D96" i="6"/>
  <c r="J99" i="6"/>
  <c r="M99" i="6"/>
  <c r="J100" i="6"/>
  <c r="M100" i="6"/>
  <c r="O100" i="6"/>
  <c r="P100" i="6" s="1"/>
  <c r="J101" i="6"/>
  <c r="M101" i="6"/>
  <c r="P101" i="6" s="1"/>
  <c r="O101" i="6"/>
  <c r="M102" i="6"/>
  <c r="O102" i="6"/>
  <c r="P102" i="6"/>
  <c r="M108" i="6"/>
  <c r="O108" i="6"/>
  <c r="M109" i="6"/>
  <c r="O109" i="6"/>
  <c r="M110" i="6"/>
  <c r="O110" i="6"/>
  <c r="M111" i="6"/>
  <c r="O111" i="6"/>
  <c r="M112" i="6"/>
  <c r="O112" i="6"/>
  <c r="M113" i="6"/>
  <c r="P113" i="6" s="1"/>
  <c r="O113" i="6"/>
  <c r="M114" i="6"/>
  <c r="O114" i="6"/>
  <c r="M115" i="6"/>
  <c r="O115" i="6"/>
  <c r="M116" i="6"/>
  <c r="O116" i="6"/>
  <c r="M117" i="6"/>
  <c r="P117" i="6" s="1"/>
  <c r="O117" i="6"/>
  <c r="M118" i="6"/>
  <c r="O118" i="6"/>
  <c r="P118" i="6" s="1"/>
  <c r="M119" i="6"/>
  <c r="O119" i="6"/>
  <c r="M120" i="6"/>
  <c r="O120" i="6"/>
  <c r="P120" i="6" s="1"/>
  <c r="M121" i="6"/>
  <c r="O121" i="6"/>
  <c r="M122" i="6"/>
  <c r="O122" i="6"/>
  <c r="P122" i="6" s="1"/>
  <c r="M123" i="6"/>
  <c r="O123" i="6"/>
  <c r="M124" i="6"/>
  <c r="O124" i="6"/>
  <c r="P124" i="6" s="1"/>
  <c r="M125" i="6"/>
  <c r="O125" i="6"/>
  <c r="M126" i="6"/>
  <c r="O126" i="6"/>
  <c r="P126" i="6" s="1"/>
  <c r="M127" i="6"/>
  <c r="O127" i="6"/>
  <c r="M128" i="6"/>
  <c r="O128" i="6"/>
  <c r="P128" i="6" s="1"/>
  <c r="M129" i="6"/>
  <c r="O129" i="6"/>
  <c r="M130" i="6"/>
  <c r="O130" i="6"/>
  <c r="M131" i="6"/>
  <c r="O131" i="6"/>
  <c r="M132" i="6"/>
  <c r="O132" i="6"/>
  <c r="M133" i="6"/>
  <c r="O133" i="6"/>
  <c r="M134" i="6"/>
  <c r="O134" i="6"/>
  <c r="M135" i="6"/>
  <c r="O135" i="6"/>
  <c r="M136" i="6"/>
  <c r="O136" i="6"/>
  <c r="P136" i="6" s="1"/>
  <c r="M137" i="6"/>
  <c r="O137" i="6"/>
  <c r="M138" i="6"/>
  <c r="O138" i="6"/>
  <c r="M139" i="6"/>
  <c r="O139" i="6"/>
  <c r="M140" i="6"/>
  <c r="O140" i="6"/>
  <c r="P140" i="6" s="1"/>
  <c r="M141" i="6"/>
  <c r="O141" i="6"/>
  <c r="M142" i="6"/>
  <c r="O142" i="6"/>
  <c r="M143" i="6"/>
  <c r="O143" i="6"/>
  <c r="M144" i="6"/>
  <c r="O144" i="6"/>
  <c r="P144" i="6" s="1"/>
  <c r="M145" i="6"/>
  <c r="O145" i="6"/>
  <c r="M146" i="6"/>
  <c r="O146" i="6"/>
  <c r="M147" i="6"/>
  <c r="O147" i="6"/>
  <c r="M148" i="6"/>
  <c r="O148" i="6"/>
  <c r="P148" i="6" s="1"/>
  <c r="M149" i="6"/>
  <c r="O149" i="6"/>
  <c r="M150" i="6"/>
  <c r="O150" i="6"/>
  <c r="M151" i="6"/>
  <c r="O151" i="6"/>
  <c r="M152" i="6"/>
  <c r="O152" i="6"/>
  <c r="M153" i="6"/>
  <c r="O153" i="6"/>
  <c r="M154" i="6"/>
  <c r="O154" i="6"/>
  <c r="K11" i="5"/>
  <c r="I17" i="5"/>
  <c r="L17" i="5"/>
  <c r="N17" i="5"/>
  <c r="I18" i="5"/>
  <c r="L18" i="5"/>
  <c r="N18" i="5"/>
  <c r="O18" i="5" s="1"/>
  <c r="I19" i="5"/>
  <c r="L19" i="5"/>
  <c r="N19" i="5"/>
  <c r="O19" i="5"/>
  <c r="L20" i="5"/>
  <c r="N20" i="5"/>
  <c r="L27" i="5"/>
  <c r="N27" i="5"/>
  <c r="L28" i="5"/>
  <c r="N28" i="5"/>
  <c r="L29" i="5"/>
  <c r="N29" i="5"/>
  <c r="L30" i="5"/>
  <c r="N30" i="5"/>
  <c r="L31" i="5"/>
  <c r="N31" i="5"/>
  <c r="O31" i="5" s="1"/>
  <c r="L32" i="5"/>
  <c r="N32" i="5"/>
  <c r="O32" i="5"/>
  <c r="L33" i="5"/>
  <c r="N33" i="5"/>
  <c r="L34" i="5"/>
  <c r="N34" i="5"/>
  <c r="O34" i="5" s="1"/>
  <c r="L35" i="5"/>
  <c r="N35" i="5"/>
  <c r="O35" i="5"/>
  <c r="L36" i="5"/>
  <c r="N36" i="5"/>
  <c r="O36" i="5" s="1"/>
  <c r="L37" i="5"/>
  <c r="N37" i="5"/>
  <c r="L38" i="5"/>
  <c r="N38" i="5"/>
  <c r="L39" i="5"/>
  <c r="N39" i="5"/>
  <c r="L40" i="5"/>
  <c r="N40" i="5"/>
  <c r="O40" i="5" s="1"/>
  <c r="L41" i="5"/>
  <c r="N41" i="5"/>
  <c r="O41" i="5"/>
  <c r="L42" i="5"/>
  <c r="N42" i="5"/>
  <c r="O42" i="5"/>
  <c r="L43" i="5"/>
  <c r="N43" i="5"/>
  <c r="L44" i="5"/>
  <c r="N44" i="5"/>
  <c r="L45" i="5"/>
  <c r="N45" i="5"/>
  <c r="L46" i="5"/>
  <c r="O46" i="5"/>
  <c r="N46" i="5"/>
  <c r="L47" i="5"/>
  <c r="N47" i="5"/>
  <c r="L48" i="5"/>
  <c r="N48" i="5"/>
  <c r="O48" i="5" s="1"/>
  <c r="I49" i="5"/>
  <c r="L49" i="5"/>
  <c r="N49" i="5"/>
  <c r="O49" i="5"/>
  <c r="I50" i="5"/>
  <c r="L50" i="5"/>
  <c r="N50" i="5"/>
  <c r="O50" i="5"/>
  <c r="I51" i="5"/>
  <c r="L51" i="5"/>
  <c r="N51" i="5"/>
  <c r="O51" i="5"/>
  <c r="I52" i="5"/>
  <c r="L52" i="5"/>
  <c r="N52" i="5"/>
  <c r="O52" i="5"/>
  <c r="I53" i="5"/>
  <c r="L53" i="5"/>
  <c r="N53" i="5"/>
  <c r="O53" i="5"/>
  <c r="I54" i="5"/>
  <c r="L54" i="5"/>
  <c r="N54" i="5"/>
  <c r="O54" i="5"/>
  <c r="I55" i="5"/>
  <c r="L55" i="5"/>
  <c r="N55" i="5"/>
  <c r="O55" i="5"/>
  <c r="I56" i="5"/>
  <c r="L56" i="5"/>
  <c r="N56" i="5"/>
  <c r="O56" i="5"/>
  <c r="I57" i="5"/>
  <c r="L57" i="5"/>
  <c r="N57" i="5"/>
  <c r="O57" i="5"/>
  <c r="I58" i="5"/>
  <c r="L58" i="5"/>
  <c r="N58" i="5"/>
  <c r="O58" i="5"/>
  <c r="I59" i="5"/>
  <c r="L59" i="5"/>
  <c r="N59" i="5"/>
  <c r="O59" i="5"/>
  <c r="I60" i="5"/>
  <c r="L60" i="5"/>
  <c r="N60" i="5"/>
  <c r="O60" i="5"/>
  <c r="I61" i="5"/>
  <c r="L61" i="5"/>
  <c r="N61" i="5"/>
  <c r="O61" i="5"/>
  <c r="I62" i="5"/>
  <c r="L62" i="5"/>
  <c r="N62" i="5"/>
  <c r="O62" i="5"/>
  <c r="I63" i="5"/>
  <c r="L63" i="5"/>
  <c r="N63" i="5"/>
  <c r="O63" i="5"/>
  <c r="I64" i="5"/>
  <c r="L64" i="5"/>
  <c r="N64" i="5"/>
  <c r="O64" i="5"/>
  <c r="I65" i="5"/>
  <c r="L65" i="5"/>
  <c r="N65" i="5"/>
  <c r="O65" i="5"/>
  <c r="I66" i="5"/>
  <c r="L66" i="5"/>
  <c r="N66" i="5"/>
  <c r="O66" i="5"/>
  <c r="I67" i="5"/>
  <c r="L67" i="5"/>
  <c r="N67" i="5"/>
  <c r="O67" i="5"/>
  <c r="I68" i="5"/>
  <c r="L68" i="5"/>
  <c r="N68" i="5"/>
  <c r="O68" i="5"/>
  <c r="I69" i="5"/>
  <c r="L69" i="5"/>
  <c r="N69" i="5"/>
  <c r="O69" i="5"/>
  <c r="I70" i="5"/>
  <c r="L70" i="5"/>
  <c r="N70" i="5"/>
  <c r="O70" i="5"/>
  <c r="I71" i="5"/>
  <c r="L71" i="5"/>
  <c r="N71" i="5"/>
  <c r="O71" i="5"/>
  <c r="I72" i="5"/>
  <c r="L72" i="5"/>
  <c r="N72" i="5"/>
  <c r="O72" i="5"/>
  <c r="D89" i="5"/>
  <c r="D91" i="5"/>
  <c r="J93" i="5"/>
  <c r="L93" i="5"/>
  <c r="D96" i="5"/>
  <c r="J99" i="5"/>
  <c r="M99" i="5"/>
  <c r="P99" i="5" s="1"/>
  <c r="O99" i="5"/>
  <c r="J100" i="5"/>
  <c r="O100" i="5"/>
  <c r="P100" i="5" s="1"/>
  <c r="M101" i="5"/>
  <c r="O101" i="5"/>
  <c r="P101" i="5"/>
  <c r="M107" i="5"/>
  <c r="O107" i="5"/>
  <c r="M108" i="5"/>
  <c r="O108" i="5"/>
  <c r="M109" i="5"/>
  <c r="O109" i="5"/>
  <c r="M110" i="5"/>
  <c r="O110" i="5"/>
  <c r="P110" i="5" s="1"/>
  <c r="M111" i="5"/>
  <c r="O111" i="5"/>
  <c r="M112" i="5"/>
  <c r="O112" i="5"/>
  <c r="M113" i="5"/>
  <c r="O113" i="5"/>
  <c r="M114" i="5"/>
  <c r="O114" i="5"/>
  <c r="M115" i="5"/>
  <c r="O115" i="5"/>
  <c r="M116" i="5"/>
  <c r="O116" i="5"/>
  <c r="M117" i="5"/>
  <c r="O117" i="5"/>
  <c r="M118" i="5"/>
  <c r="O118" i="5"/>
  <c r="M119" i="5"/>
  <c r="O119" i="5"/>
  <c r="M120" i="5"/>
  <c r="O120" i="5"/>
  <c r="M121" i="5"/>
  <c r="P121" i="5" s="1"/>
  <c r="O121" i="5"/>
  <c r="M122" i="5"/>
  <c r="O122" i="5"/>
  <c r="M123" i="5"/>
  <c r="O123" i="5"/>
  <c r="M124" i="5"/>
  <c r="O124" i="5"/>
  <c r="M125" i="5"/>
  <c r="O125" i="5"/>
  <c r="M126" i="5"/>
  <c r="O126" i="5"/>
  <c r="M127" i="5"/>
  <c r="O127" i="5"/>
  <c r="M128" i="5"/>
  <c r="O128" i="5"/>
  <c r="M129" i="5"/>
  <c r="P129" i="5" s="1"/>
  <c r="O129" i="5"/>
  <c r="M130" i="5"/>
  <c r="O130" i="5"/>
  <c r="M131" i="5"/>
  <c r="O131" i="5"/>
  <c r="M132" i="5"/>
  <c r="O132" i="5"/>
  <c r="M133" i="5"/>
  <c r="P133" i="5" s="1"/>
  <c r="O133" i="5"/>
  <c r="M134" i="5"/>
  <c r="O134" i="5"/>
  <c r="M135" i="5"/>
  <c r="O135" i="5"/>
  <c r="M136" i="5"/>
  <c r="O136" i="5"/>
  <c r="M137" i="5"/>
  <c r="O137" i="5"/>
  <c r="M138" i="5"/>
  <c r="O138" i="5"/>
  <c r="P138" i="5"/>
  <c r="M139" i="5"/>
  <c r="O139" i="5"/>
  <c r="M140" i="5"/>
  <c r="O140" i="5"/>
  <c r="M141" i="5"/>
  <c r="O141" i="5"/>
  <c r="M142" i="5"/>
  <c r="O142" i="5"/>
  <c r="M143" i="5"/>
  <c r="O143" i="5"/>
  <c r="P143" i="5" s="1"/>
  <c r="M144" i="5"/>
  <c r="O144" i="5"/>
  <c r="M145" i="5"/>
  <c r="O145" i="5"/>
  <c r="M146" i="5"/>
  <c r="O146" i="5"/>
  <c r="M147" i="5"/>
  <c r="O147" i="5"/>
  <c r="P147" i="5" s="1"/>
  <c r="M148" i="5"/>
  <c r="O148" i="5"/>
  <c r="M149" i="5"/>
  <c r="O149" i="5"/>
  <c r="M150" i="5"/>
  <c r="O150" i="5"/>
  <c r="P150" i="5" s="1"/>
  <c r="M151" i="5"/>
  <c r="O151" i="5"/>
  <c r="P151" i="5" s="1"/>
  <c r="M152" i="5"/>
  <c r="O152" i="5"/>
  <c r="P152" i="5" s="1"/>
  <c r="M153" i="5"/>
  <c r="O153" i="5"/>
  <c r="M154" i="5"/>
  <c r="O154" i="5"/>
  <c r="K11" i="4"/>
  <c r="I17" i="4"/>
  <c r="L17" i="4"/>
  <c r="N17" i="4"/>
  <c r="O17" i="4" s="1"/>
  <c r="I18" i="4"/>
  <c r="L18" i="4"/>
  <c r="N18" i="4"/>
  <c r="O18" i="4"/>
  <c r="I19" i="4"/>
  <c r="L19" i="4"/>
  <c r="N19" i="4"/>
  <c r="O19" i="4" s="1"/>
  <c r="L20" i="4"/>
  <c r="N20" i="4"/>
  <c r="L27" i="4"/>
  <c r="N27" i="4"/>
  <c r="L28" i="4"/>
  <c r="O28" i="4" s="1"/>
  <c r="N28" i="4"/>
  <c r="L29" i="4"/>
  <c r="N29" i="4"/>
  <c r="L30" i="4"/>
  <c r="N30" i="4"/>
  <c r="O30" i="4"/>
  <c r="L31" i="4"/>
  <c r="N31" i="4"/>
  <c r="O31" i="4" s="1"/>
  <c r="L32" i="4"/>
  <c r="N32" i="4"/>
  <c r="O32" i="4" s="1"/>
  <c r="L33" i="4"/>
  <c r="N33" i="4"/>
  <c r="L34" i="4"/>
  <c r="N34" i="4"/>
  <c r="L35" i="4"/>
  <c r="N35" i="4"/>
  <c r="O35" i="4"/>
  <c r="L36" i="4"/>
  <c r="N36" i="4"/>
  <c r="L37" i="4"/>
  <c r="O37" i="4"/>
  <c r="N37" i="4"/>
  <c r="L38" i="4"/>
  <c r="N38" i="4"/>
  <c r="O38" i="4" s="1"/>
  <c r="L39" i="4"/>
  <c r="N39" i="4"/>
  <c r="O39" i="4"/>
  <c r="L40" i="4"/>
  <c r="O40" i="4" s="1"/>
  <c r="N40" i="4"/>
  <c r="L41" i="4"/>
  <c r="N41" i="4"/>
  <c r="L42" i="4"/>
  <c r="N42" i="4"/>
  <c r="O42" i="4" s="1"/>
  <c r="L43" i="4"/>
  <c r="N43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L54" i="4"/>
  <c r="N54" i="4"/>
  <c r="O54" i="4" s="1"/>
  <c r="L55" i="4"/>
  <c r="N55" i="4"/>
  <c r="O55" i="4" s="1"/>
  <c r="L56" i="4"/>
  <c r="N56" i="4"/>
  <c r="O56" i="4" s="1"/>
  <c r="L57" i="4"/>
  <c r="N57" i="4"/>
  <c r="O57" i="4" s="1"/>
  <c r="L58" i="4"/>
  <c r="N58" i="4"/>
  <c r="O58" i="4"/>
  <c r="L59" i="4"/>
  <c r="N59" i="4"/>
  <c r="O59" i="4" s="1"/>
  <c r="L60" i="4"/>
  <c r="N60" i="4"/>
  <c r="L61" i="4"/>
  <c r="N61" i="4"/>
  <c r="O61" i="4" s="1"/>
  <c r="L62" i="4"/>
  <c r="N62" i="4"/>
  <c r="L63" i="4"/>
  <c r="N63" i="4"/>
  <c r="L64" i="4"/>
  <c r="N64" i="4"/>
  <c r="O64" i="4" s="1"/>
  <c r="L65" i="4"/>
  <c r="N65" i="4"/>
  <c r="L66" i="4"/>
  <c r="N66" i="4"/>
  <c r="L67" i="4"/>
  <c r="N67" i="4"/>
  <c r="O67" i="4" s="1"/>
  <c r="L68" i="4"/>
  <c r="N68" i="4"/>
  <c r="L69" i="4"/>
  <c r="N69" i="4"/>
  <c r="L70" i="4"/>
  <c r="N70" i="4"/>
  <c r="L71" i="4"/>
  <c r="N71" i="4"/>
  <c r="L72" i="4"/>
  <c r="N72" i="4"/>
  <c r="D89" i="4"/>
  <c r="D91" i="4"/>
  <c r="J93" i="4"/>
  <c r="L93" i="4"/>
  <c r="D96" i="4"/>
  <c r="J99" i="4"/>
  <c r="M99" i="4"/>
  <c r="O99" i="4"/>
  <c r="P99" i="4" s="1"/>
  <c r="J100" i="4"/>
  <c r="M100" i="4"/>
  <c r="O100" i="4"/>
  <c r="M101" i="4"/>
  <c r="O101" i="4"/>
  <c r="P101" i="4" s="1"/>
  <c r="O105" i="4"/>
  <c r="P105" i="4"/>
  <c r="M107" i="4"/>
  <c r="O107" i="4"/>
  <c r="P107" i="4" s="1"/>
  <c r="M108" i="4"/>
  <c r="O108" i="4"/>
  <c r="M109" i="4"/>
  <c r="O109" i="4"/>
  <c r="M110" i="4"/>
  <c r="O110" i="4"/>
  <c r="M111" i="4"/>
  <c r="O111" i="4"/>
  <c r="M112" i="4"/>
  <c r="O112" i="4"/>
  <c r="M113" i="4"/>
  <c r="O113" i="4"/>
  <c r="M114" i="4"/>
  <c r="O114" i="4"/>
  <c r="M115" i="4"/>
  <c r="O115" i="4"/>
  <c r="P115" i="4" s="1"/>
  <c r="M116" i="4"/>
  <c r="O116" i="4"/>
  <c r="M117" i="4"/>
  <c r="P117" i="4" s="1"/>
  <c r="O117" i="4"/>
  <c r="M118" i="4"/>
  <c r="O118" i="4"/>
  <c r="M119" i="4"/>
  <c r="O119" i="4"/>
  <c r="M120" i="4"/>
  <c r="O120" i="4"/>
  <c r="M121" i="4"/>
  <c r="P121" i="4" s="1"/>
  <c r="O121" i="4"/>
  <c r="M122" i="4"/>
  <c r="O122" i="4"/>
  <c r="M123" i="4"/>
  <c r="O123" i="4"/>
  <c r="M124" i="4"/>
  <c r="O124" i="4"/>
  <c r="M125" i="4"/>
  <c r="P125" i="4" s="1"/>
  <c r="O125" i="4"/>
  <c r="M126" i="4"/>
  <c r="O126" i="4"/>
  <c r="M127" i="4"/>
  <c r="O127" i="4"/>
  <c r="M128" i="4"/>
  <c r="O128" i="4"/>
  <c r="M129" i="4"/>
  <c r="O129" i="4"/>
  <c r="M130" i="4"/>
  <c r="O130" i="4"/>
  <c r="M131" i="4"/>
  <c r="O131" i="4"/>
  <c r="M132" i="4"/>
  <c r="O132" i="4"/>
  <c r="M133" i="4"/>
  <c r="O133" i="4"/>
  <c r="M134" i="4"/>
  <c r="O134" i="4"/>
  <c r="M135" i="4"/>
  <c r="O135" i="4"/>
  <c r="M136" i="4"/>
  <c r="P136" i="4" s="1"/>
  <c r="O136" i="4"/>
  <c r="M137" i="4"/>
  <c r="O137" i="4"/>
  <c r="P137" i="4" s="1"/>
  <c r="M138" i="4"/>
  <c r="O138" i="4"/>
  <c r="M139" i="4"/>
  <c r="O139" i="4"/>
  <c r="P139" i="4" s="1"/>
  <c r="M140" i="4"/>
  <c r="O140" i="4"/>
  <c r="M141" i="4"/>
  <c r="O141" i="4"/>
  <c r="M142" i="4"/>
  <c r="O142" i="4"/>
  <c r="M143" i="4"/>
  <c r="O143" i="4"/>
  <c r="M144" i="4"/>
  <c r="O144" i="4"/>
  <c r="M145" i="4"/>
  <c r="O145" i="4"/>
  <c r="P145" i="4" s="1"/>
  <c r="M146" i="4"/>
  <c r="O146" i="4"/>
  <c r="M147" i="4"/>
  <c r="O147" i="4"/>
  <c r="P147" i="4" s="1"/>
  <c r="M148" i="4"/>
  <c r="O148" i="4"/>
  <c r="M149" i="4"/>
  <c r="O149" i="4"/>
  <c r="M150" i="4"/>
  <c r="O150" i="4"/>
  <c r="M151" i="4"/>
  <c r="O151" i="4"/>
  <c r="M152" i="4"/>
  <c r="O152" i="4"/>
  <c r="M153" i="4"/>
  <c r="O153" i="4"/>
  <c r="M154" i="4"/>
  <c r="P154" i="4" s="1"/>
  <c r="O154" i="4"/>
  <c r="K11" i="3"/>
  <c r="I17" i="3"/>
  <c r="L17" i="3"/>
  <c r="N17" i="3"/>
  <c r="O17" i="3" s="1"/>
  <c r="L18" i="3"/>
  <c r="N18" i="3"/>
  <c r="L19" i="3"/>
  <c r="N19" i="3"/>
  <c r="O19" i="3" s="1"/>
  <c r="L20" i="3"/>
  <c r="N20" i="3"/>
  <c r="L27" i="3"/>
  <c r="N27" i="3"/>
  <c r="L28" i="3"/>
  <c r="N28" i="3"/>
  <c r="L29" i="3"/>
  <c r="N29" i="3"/>
  <c r="O29" i="3" s="1"/>
  <c r="L30" i="3"/>
  <c r="N30" i="3"/>
  <c r="L31" i="3"/>
  <c r="N31" i="3"/>
  <c r="O31" i="3" s="1"/>
  <c r="L32" i="3"/>
  <c r="N32" i="3"/>
  <c r="O32" i="3"/>
  <c r="L33" i="3"/>
  <c r="N33" i="3"/>
  <c r="L34" i="3"/>
  <c r="N34" i="3"/>
  <c r="O34" i="3" s="1"/>
  <c r="L35" i="3"/>
  <c r="N35" i="3"/>
  <c r="L36" i="3"/>
  <c r="N36" i="3"/>
  <c r="L37" i="3"/>
  <c r="N37" i="3"/>
  <c r="O37" i="3" s="1"/>
  <c r="L38" i="3"/>
  <c r="N38" i="3"/>
  <c r="O38" i="3"/>
  <c r="L39" i="3"/>
  <c r="N39" i="3"/>
  <c r="O39" i="3" s="1"/>
  <c r="L40" i="3"/>
  <c r="O40" i="3"/>
  <c r="N40" i="3"/>
  <c r="L41" i="3"/>
  <c r="N41" i="3"/>
  <c r="O41" i="3" s="1"/>
  <c r="L42" i="3"/>
  <c r="N42" i="3"/>
  <c r="O42" i="3"/>
  <c r="L43" i="3"/>
  <c r="O43" i="3" s="1"/>
  <c r="N43" i="3"/>
  <c r="L44" i="3"/>
  <c r="N44" i="3"/>
  <c r="O44" i="3" s="1"/>
  <c r="L45" i="3"/>
  <c r="N45" i="3"/>
  <c r="L46" i="3"/>
  <c r="N46" i="3"/>
  <c r="O46" i="3" s="1"/>
  <c r="L47" i="3"/>
  <c r="N47" i="3"/>
  <c r="O47" i="3" s="1"/>
  <c r="L48" i="3"/>
  <c r="N48" i="3"/>
  <c r="O48" i="3" s="1"/>
  <c r="L49" i="3"/>
  <c r="N49" i="3"/>
  <c r="O49" i="3"/>
  <c r="L50" i="3"/>
  <c r="N50" i="3"/>
  <c r="L51" i="3"/>
  <c r="N51" i="3"/>
  <c r="L52" i="3"/>
  <c r="N52" i="3"/>
  <c r="O52" i="3" s="1"/>
  <c r="L53" i="3"/>
  <c r="N53" i="3"/>
  <c r="O53" i="3" s="1"/>
  <c r="L54" i="3"/>
  <c r="N54" i="3"/>
  <c r="O54" i="3" s="1"/>
  <c r="L55" i="3"/>
  <c r="N55" i="3"/>
  <c r="L56" i="3"/>
  <c r="O56" i="3" s="1"/>
  <c r="N56" i="3"/>
  <c r="L57" i="3"/>
  <c r="N57" i="3"/>
  <c r="L58" i="3"/>
  <c r="N58" i="3"/>
  <c r="O58" i="3" s="1"/>
  <c r="L59" i="3"/>
  <c r="N59" i="3"/>
  <c r="O59" i="3" s="1"/>
  <c r="L60" i="3"/>
  <c r="N60" i="3"/>
  <c r="L61" i="3"/>
  <c r="N61" i="3"/>
  <c r="O61" i="3" s="1"/>
  <c r="L62" i="3"/>
  <c r="N62" i="3"/>
  <c r="L63" i="3"/>
  <c r="N63" i="3"/>
  <c r="L64" i="3"/>
  <c r="N64" i="3"/>
  <c r="O64" i="3" s="1"/>
  <c r="L65" i="3"/>
  <c r="N65" i="3"/>
  <c r="O65" i="3" s="1"/>
  <c r="L66" i="3"/>
  <c r="N66" i="3"/>
  <c r="L67" i="3"/>
  <c r="N67" i="3"/>
  <c r="O67" i="3" s="1"/>
  <c r="L68" i="3"/>
  <c r="N68" i="3"/>
  <c r="L69" i="3"/>
  <c r="N69" i="3"/>
  <c r="L70" i="3"/>
  <c r="N70" i="3"/>
  <c r="O70" i="3" s="1"/>
  <c r="L71" i="3"/>
  <c r="N71" i="3"/>
  <c r="O71" i="3"/>
  <c r="L72" i="3"/>
  <c r="N72" i="3"/>
  <c r="D89" i="3"/>
  <c r="D91" i="3"/>
  <c r="J93" i="3"/>
  <c r="L93" i="3"/>
  <c r="D96" i="3"/>
  <c r="J99" i="3"/>
  <c r="M99" i="3"/>
  <c r="O99" i="3"/>
  <c r="P99" i="3"/>
  <c r="J100" i="3"/>
  <c r="M100" i="3"/>
  <c r="O100" i="3"/>
  <c r="P100" i="3"/>
  <c r="M101" i="3"/>
  <c r="O101" i="3"/>
  <c r="M107" i="3"/>
  <c r="O107" i="3"/>
  <c r="M108" i="3"/>
  <c r="O108" i="3"/>
  <c r="M109" i="3"/>
  <c r="O109" i="3"/>
  <c r="P109" i="3" s="1"/>
  <c r="M110" i="3"/>
  <c r="O110" i="3"/>
  <c r="P110" i="3" s="1"/>
  <c r="M111" i="3"/>
  <c r="O111" i="3"/>
  <c r="P111" i="3" s="1"/>
  <c r="M112" i="3"/>
  <c r="O112" i="3"/>
  <c r="M113" i="3"/>
  <c r="O113" i="3"/>
  <c r="M114" i="3"/>
  <c r="O114" i="3"/>
  <c r="P114" i="3" s="1"/>
  <c r="M115" i="3"/>
  <c r="O115" i="3"/>
  <c r="M116" i="3"/>
  <c r="O116" i="3"/>
  <c r="P116" i="3" s="1"/>
  <c r="M117" i="3"/>
  <c r="O117" i="3"/>
  <c r="M118" i="3"/>
  <c r="O118" i="3"/>
  <c r="M119" i="3"/>
  <c r="O119" i="3"/>
  <c r="M120" i="3"/>
  <c r="O120" i="3"/>
  <c r="M121" i="3"/>
  <c r="O121" i="3"/>
  <c r="M122" i="3"/>
  <c r="O122" i="3"/>
  <c r="M123" i="3"/>
  <c r="O123" i="3"/>
  <c r="P123" i="3" s="1"/>
  <c r="M124" i="3"/>
  <c r="O124" i="3"/>
  <c r="P124" i="3" s="1"/>
  <c r="M125" i="3"/>
  <c r="O125" i="3"/>
  <c r="M126" i="3"/>
  <c r="O126" i="3"/>
  <c r="M127" i="3"/>
  <c r="O127" i="3"/>
  <c r="P127" i="3" s="1"/>
  <c r="M128" i="3"/>
  <c r="O128" i="3"/>
  <c r="M129" i="3"/>
  <c r="O129" i="3"/>
  <c r="M130" i="3"/>
  <c r="O130" i="3"/>
  <c r="M131" i="3"/>
  <c r="O131" i="3"/>
  <c r="M132" i="3"/>
  <c r="O132" i="3"/>
  <c r="M133" i="3"/>
  <c r="O133" i="3"/>
  <c r="M134" i="3"/>
  <c r="O134" i="3"/>
  <c r="M135" i="3"/>
  <c r="O135" i="3"/>
  <c r="M136" i="3"/>
  <c r="O136" i="3"/>
  <c r="M137" i="3"/>
  <c r="O137" i="3"/>
  <c r="M138" i="3"/>
  <c r="O138" i="3"/>
  <c r="M139" i="3"/>
  <c r="O139" i="3"/>
  <c r="M140" i="3"/>
  <c r="O140" i="3"/>
  <c r="M141" i="3"/>
  <c r="O141" i="3"/>
  <c r="P141" i="3" s="1"/>
  <c r="M142" i="3"/>
  <c r="O142" i="3"/>
  <c r="M143" i="3"/>
  <c r="O143" i="3"/>
  <c r="M144" i="3"/>
  <c r="O144" i="3"/>
  <c r="M145" i="3"/>
  <c r="O145" i="3"/>
  <c r="P145" i="3" s="1"/>
  <c r="M146" i="3"/>
  <c r="O146" i="3"/>
  <c r="M147" i="3"/>
  <c r="O147" i="3"/>
  <c r="P147" i="3" s="1"/>
  <c r="M148" i="3"/>
  <c r="O148" i="3"/>
  <c r="M149" i="3"/>
  <c r="O149" i="3"/>
  <c r="M150" i="3"/>
  <c r="O150" i="3"/>
  <c r="M151" i="3"/>
  <c r="O151" i="3"/>
  <c r="M152" i="3"/>
  <c r="O152" i="3"/>
  <c r="M153" i="3"/>
  <c r="O153" i="3"/>
  <c r="P153" i="3" s="1"/>
  <c r="M154" i="3"/>
  <c r="P154" i="3" s="1"/>
  <c r="O154" i="3"/>
  <c r="F12" i="2"/>
  <c r="F14" i="2"/>
  <c r="E19" i="2" s="1"/>
  <c r="F19" i="2" s="1"/>
  <c r="D17" i="2"/>
  <c r="E17" i="2"/>
  <c r="F17" i="2" s="1"/>
  <c r="F20" i="2" s="1"/>
  <c r="E25" i="2" s="1"/>
  <c r="E26" i="2" s="1"/>
  <c r="D18" i="2"/>
  <c r="E18" i="2"/>
  <c r="F18" i="2" s="1"/>
  <c r="D19" i="2"/>
  <c r="C24" i="2"/>
  <c r="E24" i="2"/>
  <c r="C31" i="2"/>
  <c r="E31" i="2"/>
  <c r="C34" i="2"/>
  <c r="E34" i="2"/>
  <c r="C40" i="2"/>
  <c r="C44" i="2"/>
  <c r="F44" i="2"/>
  <c r="C45" i="2"/>
  <c r="F45" i="2"/>
  <c r="C46" i="2"/>
  <c r="F46" i="2"/>
  <c r="C47" i="2"/>
  <c r="F47" i="2"/>
  <c r="C52" i="2"/>
  <c r="C58" i="2"/>
  <c r="F58" i="2"/>
  <c r="C75" i="2"/>
  <c r="F75" i="2"/>
  <c r="C81" i="2"/>
  <c r="C90" i="2"/>
  <c r="E17" i="1"/>
  <c r="F17" i="1" s="1"/>
  <c r="D19" i="1"/>
  <c r="C24" i="1"/>
  <c r="E24" i="1"/>
  <c r="C34" i="1"/>
  <c r="E34" i="1"/>
  <c r="C40" i="1"/>
  <c r="C44" i="1"/>
  <c r="C45" i="1"/>
  <c r="F45" i="1"/>
  <c r="C47" i="1"/>
  <c r="F47" i="1"/>
  <c r="C52" i="1"/>
  <c r="C81" i="1"/>
  <c r="C90" i="1"/>
  <c r="S132" i="1"/>
  <c r="S133" i="1"/>
  <c r="S134" i="1"/>
  <c r="I20" i="6"/>
  <c r="I19" i="6"/>
  <c r="O17" i="22"/>
  <c r="B21" i="8"/>
  <c r="B21" i="6"/>
  <c r="B19" i="22"/>
  <c r="D8" i="3"/>
  <c r="D90" i="3" s="1"/>
  <c r="B23" i="7"/>
  <c r="B21" i="5"/>
  <c r="B21" i="4"/>
  <c r="I21" i="8"/>
  <c r="B20" i="3"/>
  <c r="I20" i="5"/>
  <c r="B23" i="11"/>
  <c r="I23" i="10"/>
  <c r="I19" i="22"/>
  <c r="I22" i="11"/>
  <c r="B22" i="8"/>
  <c r="I18" i="23"/>
  <c r="B20" i="22"/>
  <c r="I23" i="7"/>
  <c r="I17" i="25"/>
  <c r="B24" i="7"/>
  <c r="I20" i="4"/>
  <c r="B22" i="6"/>
  <c r="I20" i="3"/>
  <c r="I22" i="9"/>
  <c r="I17" i="24"/>
  <c r="B100" i="23"/>
  <c r="I21" i="6"/>
  <c r="B105" i="7"/>
  <c r="B101" i="22"/>
  <c r="B103" i="8"/>
  <c r="B103" i="6"/>
  <c r="B105" i="10"/>
  <c r="B102" i="4"/>
  <c r="J104" i="7"/>
  <c r="J99" i="23"/>
  <c r="J103" i="11"/>
  <c r="J103" i="9"/>
  <c r="J104" i="10"/>
  <c r="J101" i="3"/>
  <c r="J101" i="4"/>
  <c r="J102" i="6"/>
  <c r="J100" i="22"/>
  <c r="J102" i="8"/>
  <c r="J101" i="5"/>
  <c r="B18" i="25"/>
  <c r="P99" i="23"/>
  <c r="O18" i="23"/>
  <c r="P100" i="22"/>
  <c r="O19" i="22"/>
  <c r="B104" i="11"/>
  <c r="P104" i="10"/>
  <c r="B24" i="10"/>
  <c r="B104" i="9"/>
  <c r="B23" i="9"/>
  <c r="B102" i="5"/>
  <c r="O20" i="4"/>
  <c r="B102" i="3"/>
  <c r="O20" i="3"/>
  <c r="B21" i="3"/>
  <c r="O19" i="25"/>
  <c r="O17" i="25"/>
  <c r="B19" i="25"/>
  <c r="B20" i="25"/>
  <c r="I18" i="25"/>
  <c r="C99" i="27"/>
  <c r="C100" i="27"/>
  <c r="C101" i="27" s="1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B24" i="11"/>
  <c r="B21" i="22"/>
  <c r="B102" i="25"/>
  <c r="B25" i="7"/>
  <c r="B23" i="6"/>
  <c r="B22" i="3"/>
  <c r="B22" i="4"/>
  <c r="B103" i="4"/>
  <c r="B105" i="9"/>
  <c r="B106" i="7"/>
  <c r="B102" i="22"/>
  <c r="B103" i="3"/>
  <c r="B101" i="23"/>
  <c r="B105" i="11"/>
  <c r="B104" i="8"/>
  <c r="B106" i="10"/>
  <c r="B103" i="5"/>
  <c r="B21" i="25"/>
  <c r="B18" i="27"/>
  <c r="I18" i="24"/>
  <c r="B19" i="24"/>
  <c r="K18" i="24"/>
  <c r="L18" i="24"/>
  <c r="B18" i="24"/>
  <c r="P102" i="5"/>
  <c r="C100" i="28"/>
  <c r="C101" i="28" s="1"/>
  <c r="C102" i="28" s="1"/>
  <c r="C103" i="28" s="1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 s="1"/>
  <c r="C120" i="28" s="1"/>
  <c r="C121" i="28" s="1"/>
  <c r="C122" i="28" s="1"/>
  <c r="C123" i="28" s="1"/>
  <c r="C124" i="28" s="1"/>
  <c r="C125" i="28" s="1"/>
  <c r="C126" i="28" s="1"/>
  <c r="C99" i="24"/>
  <c r="C100" i="24" s="1"/>
  <c r="C101" i="24" s="1"/>
  <c r="C102" i="24" s="1"/>
  <c r="C103" i="24" s="1"/>
  <c r="C104" i="24" s="1"/>
  <c r="C105" i="24" s="1"/>
  <c r="C106" i="24" s="1"/>
  <c r="C107" i="24" s="1"/>
  <c r="C108" i="24" s="1"/>
  <c r="C109" i="24" s="1"/>
  <c r="C110" i="24" s="1"/>
  <c r="C111" i="24" s="1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C126" i="24" s="1"/>
  <c r="C127" i="24" s="1"/>
  <c r="C128" i="24" s="1"/>
  <c r="C129" i="24" s="1"/>
  <c r="C130" i="24" s="1"/>
  <c r="C131" i="24" s="1"/>
  <c r="C132" i="24" s="1"/>
  <c r="C133" i="24" s="1"/>
  <c r="C134" i="24" s="1"/>
  <c r="C135" i="24" s="1"/>
  <c r="C136" i="24" s="1"/>
  <c r="C137" i="24" s="1"/>
  <c r="C138" i="24" s="1"/>
  <c r="C139" i="24" s="1"/>
  <c r="C140" i="24" s="1"/>
  <c r="C141" i="24" s="1"/>
  <c r="C142" i="24" s="1"/>
  <c r="C143" i="24" s="1"/>
  <c r="C144" i="24" s="1"/>
  <c r="C145" i="24" s="1"/>
  <c r="C146" i="24" s="1"/>
  <c r="C147" i="24" s="1"/>
  <c r="C148" i="24" s="1"/>
  <c r="C149" i="24" s="1"/>
  <c r="C150" i="24" s="1"/>
  <c r="C151" i="24" s="1"/>
  <c r="C152" i="24" s="1"/>
  <c r="C153" i="24" s="1"/>
  <c r="C154" i="24" s="1"/>
  <c r="P101" i="22"/>
  <c r="O20" i="22"/>
  <c r="P105" i="10"/>
  <c r="O24" i="10"/>
  <c r="B25" i="10"/>
  <c r="B24" i="9"/>
  <c r="P103" i="8"/>
  <c r="O22" i="8"/>
  <c r="B23" i="8"/>
  <c r="P105" i="7"/>
  <c r="B104" i="6"/>
  <c r="O22" i="6"/>
  <c r="O21" i="5"/>
  <c r="B22" i="5"/>
  <c r="P102" i="4"/>
  <c r="O21" i="4"/>
  <c r="P102" i="3"/>
  <c r="M18" i="24"/>
  <c r="N18" i="24"/>
  <c r="O18" i="24" s="1"/>
  <c r="B100" i="24"/>
  <c r="N99" i="24"/>
  <c r="O99" i="24" s="1"/>
  <c r="L99" i="24"/>
  <c r="M99" i="24" s="1"/>
  <c r="J99" i="24"/>
  <c r="D8" i="23"/>
  <c r="D90" i="23" s="1"/>
  <c r="B20" i="23"/>
  <c r="B23" i="5"/>
  <c r="B18" i="29"/>
  <c r="B18" i="28"/>
  <c r="B106" i="9"/>
  <c r="B103" i="22"/>
  <c r="B104" i="3"/>
  <c r="B105" i="6"/>
  <c r="B106" i="11"/>
  <c r="B104" i="5"/>
  <c r="B21" i="23"/>
  <c r="B22" i="25"/>
  <c r="B20" i="24"/>
  <c r="B23" i="3"/>
  <c r="B101" i="24"/>
  <c r="B103" i="25"/>
  <c r="B105" i="8"/>
  <c r="B23" i="4"/>
  <c r="B25" i="11"/>
  <c r="B25" i="9"/>
  <c r="B102" i="23"/>
  <c r="B22" i="22"/>
  <c r="N24" i="11"/>
  <c r="O24" i="11" s="1"/>
  <c r="P106" i="10"/>
  <c r="B107" i="10"/>
  <c r="B26" i="10"/>
  <c r="B24" i="8"/>
  <c r="B107" i="7"/>
  <c r="B26" i="7"/>
  <c r="B24" i="6"/>
  <c r="B104" i="4"/>
  <c r="N22" i="3"/>
  <c r="O22" i="3" s="1"/>
  <c r="C45" i="31"/>
  <c r="C46" i="31"/>
  <c r="C47" i="31" s="1"/>
  <c r="C48" i="31" s="1"/>
  <c r="C49" i="31" s="1"/>
  <c r="C50" i="31" s="1"/>
  <c r="C51" i="31" s="1"/>
  <c r="C52" i="31" s="1"/>
  <c r="C53" i="31" s="1"/>
  <c r="C54" i="31" s="1"/>
  <c r="C55" i="31" s="1"/>
  <c r="C56" i="31" s="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B18" i="31"/>
  <c r="E13" i="17"/>
  <c r="H3" i="17"/>
  <c r="B19" i="28"/>
  <c r="B25" i="6"/>
  <c r="B23" i="25"/>
  <c r="B22" i="23"/>
  <c r="B23" i="22"/>
  <c r="B102" i="24"/>
  <c r="B105" i="4"/>
  <c r="B104" i="25"/>
  <c r="B106" i="8"/>
  <c r="B105" i="5"/>
  <c r="B104" i="22"/>
  <c r="B26" i="11"/>
  <c r="B21" i="24"/>
  <c r="B25" i="8"/>
  <c r="B24" i="3"/>
  <c r="B27" i="10"/>
  <c r="B24" i="5"/>
  <c r="B107" i="11"/>
  <c r="B107" i="9"/>
  <c r="B108" i="7"/>
  <c r="B19" i="31"/>
  <c r="B100" i="29"/>
  <c r="B19" i="29"/>
  <c r="O18" i="28"/>
  <c r="P101" i="24"/>
  <c r="O21" i="23"/>
  <c r="P102" i="23"/>
  <c r="O22" i="22"/>
  <c r="P106" i="11"/>
  <c r="O25" i="11"/>
  <c r="B108" i="10"/>
  <c r="O26" i="10"/>
  <c r="B26" i="9"/>
  <c r="P105" i="8"/>
  <c r="P107" i="7"/>
  <c r="O26" i="7"/>
  <c r="B27" i="7"/>
  <c r="B106" i="6"/>
  <c r="O24" i="6"/>
  <c r="O23" i="5"/>
  <c r="P104" i="4"/>
  <c r="O23" i="4"/>
  <c r="B24" i="4"/>
  <c r="B105" i="3"/>
  <c r="O23" i="3"/>
  <c r="K18" i="27"/>
  <c r="B103" i="23"/>
  <c r="B100" i="27"/>
  <c r="B19" i="27"/>
  <c r="L18" i="27"/>
  <c r="I18" i="27"/>
  <c r="M18" i="27"/>
  <c r="N18" i="27"/>
  <c r="I19" i="27"/>
  <c r="B101" i="27"/>
  <c r="J100" i="27"/>
  <c r="B100" i="28"/>
  <c r="B18" i="30"/>
  <c r="J94" i="23"/>
  <c r="J94" i="5"/>
  <c r="J95" i="5"/>
  <c r="J94" i="8"/>
  <c r="J95" i="8" s="1"/>
  <c r="J94" i="7"/>
  <c r="J95" i="7" s="1"/>
  <c r="J94" i="9"/>
  <c r="J95" i="9" s="1"/>
  <c r="J94" i="31"/>
  <c r="J95" i="31" s="1"/>
  <c r="J94" i="27"/>
  <c r="J95" i="27" s="1"/>
  <c r="J94" i="4"/>
  <c r="J95" i="4" s="1"/>
  <c r="C77" i="2"/>
  <c r="P99" i="31"/>
  <c r="B100" i="31"/>
  <c r="C82" i="2"/>
  <c r="C62" i="2"/>
  <c r="C56" i="2"/>
  <c r="A4" i="2"/>
  <c r="M19" i="2"/>
  <c r="B106" i="4"/>
  <c r="J105" i="4"/>
  <c r="B107" i="6"/>
  <c r="J106" i="6"/>
  <c r="B106" i="5"/>
  <c r="B102" i="27"/>
  <c r="B101" i="28"/>
  <c r="B104" i="23"/>
  <c r="B100" i="30"/>
  <c r="B106" i="3"/>
  <c r="B101" i="31"/>
  <c r="B105" i="25"/>
  <c r="B25" i="5"/>
  <c r="B24" i="22"/>
  <c r="B20" i="31"/>
  <c r="B20" i="27"/>
  <c r="B25" i="4"/>
  <c r="B20" i="29"/>
  <c r="B19" i="30"/>
  <c r="B27" i="9"/>
  <c r="B25" i="3"/>
  <c r="B23" i="23"/>
  <c r="J101" i="27"/>
  <c r="B105" i="22"/>
  <c r="J105" i="5"/>
  <c r="J108" i="10"/>
  <c r="B107" i="8"/>
  <c r="J100" i="28"/>
  <c r="B109" i="7"/>
  <c r="J105" i="3"/>
  <c r="I18" i="30"/>
  <c r="I27" i="7"/>
  <c r="I26" i="9"/>
  <c r="B27" i="11"/>
  <c r="B26" i="8"/>
  <c r="I23" i="22"/>
  <c r="B22" i="24"/>
  <c r="I24" i="5"/>
  <c r="I23" i="25"/>
  <c r="I19" i="28"/>
  <c r="B26" i="6"/>
  <c r="I22" i="23"/>
  <c r="I24" i="3"/>
  <c r="I26" i="11"/>
  <c r="I25" i="8"/>
  <c r="I19" i="29"/>
  <c r="I24" i="4"/>
  <c r="I27" i="10"/>
  <c r="I19" i="31"/>
  <c r="I21" i="24"/>
  <c r="I25" i="6"/>
  <c r="J102" i="24"/>
  <c r="J106" i="8"/>
  <c r="J104" i="22"/>
  <c r="J100" i="29"/>
  <c r="J104" i="25"/>
  <c r="J108" i="7"/>
  <c r="J107" i="9"/>
  <c r="J100" i="31"/>
  <c r="J99" i="30"/>
  <c r="J107" i="11"/>
  <c r="J103" i="23"/>
  <c r="I20" i="27"/>
  <c r="B101" i="29"/>
  <c r="B108" i="9"/>
  <c r="B24" i="25"/>
  <c r="B20" i="28"/>
  <c r="B103" i="24"/>
  <c r="B108" i="11"/>
  <c r="B109" i="10"/>
  <c r="B28" i="10"/>
  <c r="L24" i="8"/>
  <c r="B28" i="7"/>
  <c r="I12" i="10"/>
  <c r="I13" i="10" s="1"/>
  <c r="I12" i="9"/>
  <c r="I13" i="9"/>
  <c r="I12" i="39"/>
  <c r="I13" i="39"/>
  <c r="I12" i="24"/>
  <c r="I13" i="24" s="1"/>
  <c r="I12" i="6"/>
  <c r="I13" i="6" s="1"/>
  <c r="I12" i="13"/>
  <c r="I13" i="13"/>
  <c r="H17" i="13" s="1"/>
  <c r="I12" i="25"/>
  <c r="I13" i="25" s="1"/>
  <c r="P118" i="10"/>
  <c r="P119" i="22"/>
  <c r="P129" i="28"/>
  <c r="P111" i="30"/>
  <c r="P99" i="30"/>
  <c r="C99" i="13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8" i="13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P113" i="37"/>
  <c r="O17" i="37"/>
  <c r="J94" i="39"/>
  <c r="J95" i="39"/>
  <c r="J94" i="38"/>
  <c r="J95" i="38" s="1"/>
  <c r="J94" i="6"/>
  <c r="J95" i="6"/>
  <c r="J94" i="29"/>
  <c r="J95" i="29" s="1"/>
  <c r="J94" i="3"/>
  <c r="J95" i="3" s="1"/>
  <c r="J94" i="24"/>
  <c r="J95" i="24" s="1"/>
  <c r="J94" i="28"/>
  <c r="J95" i="28"/>
  <c r="J94" i="13"/>
  <c r="J95" i="13" s="1"/>
  <c r="J94" i="30"/>
  <c r="J95" i="30" s="1"/>
  <c r="J94" i="11"/>
  <c r="J95" i="11" s="1"/>
  <c r="J94" i="10"/>
  <c r="J95" i="10" s="1"/>
  <c r="J94" i="25"/>
  <c r="J95" i="25" s="1"/>
  <c r="J94" i="22"/>
  <c r="P104" i="30"/>
  <c r="P122" i="30"/>
  <c r="P124" i="30"/>
  <c r="P126" i="30"/>
  <c r="P128" i="30"/>
  <c r="P130" i="30"/>
  <c r="P125" i="8"/>
  <c r="P126" i="10"/>
  <c r="P129" i="23"/>
  <c r="P123" i="23"/>
  <c r="P106" i="23"/>
  <c r="J94" i="40"/>
  <c r="J95" i="40" s="1"/>
  <c r="P108" i="27"/>
  <c r="P119" i="7"/>
  <c r="P130" i="9"/>
  <c r="P115" i="24"/>
  <c r="J94" i="37"/>
  <c r="J95" i="37"/>
  <c r="F48" i="2"/>
  <c r="F52" i="2" s="1"/>
  <c r="D107" i="3"/>
  <c r="P149" i="4"/>
  <c r="P127" i="4"/>
  <c r="P123" i="4"/>
  <c r="P119" i="4"/>
  <c r="P118" i="5"/>
  <c r="P108" i="5"/>
  <c r="P107" i="3"/>
  <c r="P123" i="24"/>
  <c r="P123" i="27"/>
  <c r="P120" i="5"/>
  <c r="P103" i="29"/>
  <c r="C14" i="2"/>
  <c r="C22" i="2"/>
  <c r="C10" i="2"/>
  <c r="C80" i="2"/>
  <c r="C28" i="2"/>
  <c r="C61" i="2"/>
  <c r="C73" i="2"/>
  <c r="C76" i="2"/>
  <c r="C59" i="2"/>
  <c r="C50" i="2"/>
  <c r="J92" i="4"/>
  <c r="L86" i="4" s="1"/>
  <c r="J92" i="8"/>
  <c r="N87" i="8" s="1"/>
  <c r="O87" i="8" s="1"/>
  <c r="J92" i="22"/>
  <c r="L86" i="22" s="1"/>
  <c r="J92" i="27"/>
  <c r="J92" i="31"/>
  <c r="N87" i="31" s="1"/>
  <c r="J92" i="40"/>
  <c r="L86" i="40" s="1"/>
  <c r="J92" i="5"/>
  <c r="L86" i="5" s="1"/>
  <c r="J92" i="9"/>
  <c r="M87" i="9" s="1"/>
  <c r="J92" i="23"/>
  <c r="M87" i="23"/>
  <c r="J92" i="28"/>
  <c r="J92" i="37"/>
  <c r="M87" i="37" s="1"/>
  <c r="B23" i="24"/>
  <c r="O30" i="30"/>
  <c r="D103" i="27"/>
  <c r="L86" i="9"/>
  <c r="D101" i="30"/>
  <c r="B101" i="30"/>
  <c r="D110" i="10"/>
  <c r="D105" i="23"/>
  <c r="D107" i="5"/>
  <c r="D110" i="7"/>
  <c r="D109" i="9"/>
  <c r="D104" i="24"/>
  <c r="B104" i="24" s="1"/>
  <c r="D108" i="8"/>
  <c r="B108" i="8"/>
  <c r="B21" i="31"/>
  <c r="B25" i="25"/>
  <c r="B107" i="5"/>
  <c r="D102" i="28"/>
  <c r="B102" i="28"/>
  <c r="D102" i="29"/>
  <c r="B102" i="29"/>
  <c r="D107" i="4"/>
  <c r="D106" i="25"/>
  <c r="B106" i="25"/>
  <c r="D106" i="22"/>
  <c r="D102" i="31"/>
  <c r="B102" i="31" s="1"/>
  <c r="D109" i="11"/>
  <c r="D108" i="6"/>
  <c r="B108" i="6" s="1"/>
  <c r="B26" i="4"/>
  <c r="B28" i="11"/>
  <c r="B29" i="10"/>
  <c r="B21" i="29"/>
  <c r="B21" i="27"/>
  <c r="B20" i="30"/>
  <c r="B25" i="22"/>
  <c r="B27" i="8"/>
  <c r="B107" i="4"/>
  <c r="B26" i="3"/>
  <c r="I17" i="39"/>
  <c r="B18" i="37"/>
  <c r="I25" i="3"/>
  <c r="I17" i="37"/>
  <c r="B28" i="9"/>
  <c r="B29" i="7"/>
  <c r="B24" i="23"/>
  <c r="B26" i="5"/>
  <c r="B27" i="6"/>
  <c r="I17" i="38"/>
  <c r="B18" i="39"/>
  <c r="O51" i="40"/>
  <c r="O17" i="39"/>
  <c r="O17" i="38"/>
  <c r="P113" i="31"/>
  <c r="P127" i="31"/>
  <c r="P102" i="31"/>
  <c r="P118" i="31"/>
  <c r="P108" i="31"/>
  <c r="P108" i="30"/>
  <c r="P116" i="30"/>
  <c r="P112" i="30"/>
  <c r="P127" i="30"/>
  <c r="P128" i="29"/>
  <c r="P125" i="29"/>
  <c r="P121" i="29"/>
  <c r="P113" i="29"/>
  <c r="P103" i="28"/>
  <c r="P105" i="28"/>
  <c r="P104" i="28"/>
  <c r="P117" i="28"/>
  <c r="P119" i="28"/>
  <c r="P109" i="28"/>
  <c r="P107" i="28"/>
  <c r="B21" i="28"/>
  <c r="P104" i="27"/>
  <c r="P125" i="27"/>
  <c r="P129" i="27"/>
  <c r="P117" i="27"/>
  <c r="P112" i="25"/>
  <c r="P126" i="25"/>
  <c r="P119" i="25"/>
  <c r="P127" i="24"/>
  <c r="P117" i="23"/>
  <c r="B105" i="23"/>
  <c r="P107" i="22"/>
  <c r="P130" i="22"/>
  <c r="P126" i="22"/>
  <c r="P124" i="11"/>
  <c r="P115" i="10"/>
  <c r="P142" i="10"/>
  <c r="P124" i="10"/>
  <c r="P113" i="10"/>
  <c r="P111" i="10"/>
  <c r="P150" i="10"/>
  <c r="P136" i="10"/>
  <c r="P127" i="10"/>
  <c r="P154" i="10"/>
  <c r="P122" i="10"/>
  <c r="P128" i="9"/>
  <c r="P126" i="9"/>
  <c r="P124" i="9"/>
  <c r="P122" i="9"/>
  <c r="P120" i="9"/>
  <c r="P116" i="9"/>
  <c r="P112" i="9"/>
  <c r="P127" i="9"/>
  <c r="P123" i="9"/>
  <c r="P119" i="9"/>
  <c r="P113" i="9"/>
  <c r="P132" i="8"/>
  <c r="P130" i="8"/>
  <c r="P154" i="7"/>
  <c r="P138" i="7"/>
  <c r="P131" i="7"/>
  <c r="P129" i="7"/>
  <c r="P115" i="7"/>
  <c r="P143" i="7"/>
  <c r="P141" i="7"/>
  <c r="P149" i="7"/>
  <c r="P140" i="7"/>
  <c r="P134" i="7"/>
  <c r="P124" i="7"/>
  <c r="P122" i="7"/>
  <c r="P120" i="7"/>
  <c r="B110" i="7"/>
  <c r="P116" i="7"/>
  <c r="P154" i="6"/>
  <c r="P150" i="6"/>
  <c r="P142" i="6"/>
  <c r="P138" i="6"/>
  <c r="P134" i="6"/>
  <c r="P132" i="6"/>
  <c r="P147" i="6"/>
  <c r="P145" i="6"/>
  <c r="P143" i="6"/>
  <c r="P141" i="6"/>
  <c r="P139" i="6"/>
  <c r="P137" i="6"/>
  <c r="P135" i="6"/>
  <c r="P133" i="6"/>
  <c r="P131" i="6"/>
  <c r="P129" i="6"/>
  <c r="P121" i="6"/>
  <c r="P114" i="6"/>
  <c r="P108" i="6"/>
  <c r="P153" i="6"/>
  <c r="P125" i="6"/>
  <c r="P119" i="6"/>
  <c r="P115" i="6"/>
  <c r="P111" i="6"/>
  <c r="P130" i="6"/>
  <c r="P112" i="6"/>
  <c r="P152" i="6"/>
  <c r="P110" i="6"/>
  <c r="P151" i="6"/>
  <c r="P149" i="6"/>
  <c r="P146" i="6"/>
  <c r="P127" i="6"/>
  <c r="P116" i="6"/>
  <c r="P123" i="6"/>
  <c r="P134" i="5"/>
  <c r="P116" i="5"/>
  <c r="P114" i="5"/>
  <c r="P112" i="5"/>
  <c r="P124" i="5"/>
  <c r="P132" i="5"/>
  <c r="P154" i="5"/>
  <c r="P145" i="5"/>
  <c r="P127" i="5"/>
  <c r="P122" i="5"/>
  <c r="P130" i="4"/>
  <c r="P111" i="4"/>
  <c r="P110" i="4"/>
  <c r="P152" i="3"/>
  <c r="P108" i="3"/>
  <c r="B107" i="3"/>
  <c r="P138" i="3"/>
  <c r="P119" i="3"/>
  <c r="P115" i="3"/>
  <c r="P133" i="3"/>
  <c r="P126" i="3"/>
  <c r="P120" i="3"/>
  <c r="O53" i="43"/>
  <c r="O37" i="43"/>
  <c r="P120" i="43"/>
  <c r="P102" i="42"/>
  <c r="O37" i="41"/>
  <c r="C45" i="43"/>
  <c r="C46" i="43" s="1"/>
  <c r="C47" i="43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C18" i="42"/>
  <c r="C19" i="42"/>
  <c r="C20" i="42" s="1"/>
  <c r="C21" i="42" s="1"/>
  <c r="C22" i="42" s="1"/>
  <c r="C23" i="42" s="1"/>
  <c r="C24" i="42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 s="1"/>
  <c r="C39" i="42" s="1"/>
  <c r="C40" i="42" s="1"/>
  <c r="C41" i="42" s="1"/>
  <c r="C42" i="42" s="1"/>
  <c r="C43" i="42" s="1"/>
  <c r="C44" i="42" s="1"/>
  <c r="C45" i="42" s="1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C45" i="41"/>
  <c r="C46" i="41" s="1"/>
  <c r="C47" i="41" s="1"/>
  <c r="C48" i="41" s="1"/>
  <c r="C49" i="41" s="1"/>
  <c r="C50" i="41" s="1"/>
  <c r="C51" i="41" s="1"/>
  <c r="C52" i="4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B18" i="38"/>
  <c r="P109" i="38"/>
  <c r="I10" i="41"/>
  <c r="I10" i="28"/>
  <c r="A4" i="1"/>
  <c r="I10" i="40"/>
  <c r="D94" i="40"/>
  <c r="I12" i="5"/>
  <c r="I13" i="5" s="1"/>
  <c r="I12" i="41"/>
  <c r="I13" i="41" s="1"/>
  <c r="I12" i="42"/>
  <c r="I13" i="42"/>
  <c r="I12" i="43"/>
  <c r="I13" i="43"/>
  <c r="I12" i="11"/>
  <c r="I13" i="11" s="1"/>
  <c r="I12" i="3"/>
  <c r="I13" i="3" s="1"/>
  <c r="I12" i="28"/>
  <c r="I13" i="28"/>
  <c r="I12" i="23"/>
  <c r="I13" i="23"/>
  <c r="I12" i="40"/>
  <c r="I13" i="40" s="1"/>
  <c r="I12" i="8"/>
  <c r="I13" i="8" s="1"/>
  <c r="I12" i="38"/>
  <c r="I13" i="38"/>
  <c r="I12" i="22"/>
  <c r="I13" i="22"/>
  <c r="I10" i="13"/>
  <c r="D92" i="13" s="1"/>
  <c r="J96" i="13"/>
  <c r="I10" i="6"/>
  <c r="D93" i="6" s="1"/>
  <c r="O58" i="30"/>
  <c r="P111" i="39"/>
  <c r="P107" i="43"/>
  <c r="P122" i="42"/>
  <c r="I12" i="7"/>
  <c r="I13" i="7" s="1"/>
  <c r="I12" i="37"/>
  <c r="I13" i="37"/>
  <c r="I12" i="30"/>
  <c r="I13" i="30"/>
  <c r="I12" i="4"/>
  <c r="I13" i="4" s="1"/>
  <c r="I12" i="31"/>
  <c r="I13" i="31" s="1"/>
  <c r="I12" i="27"/>
  <c r="I13" i="27"/>
  <c r="I12" i="29"/>
  <c r="I13" i="29"/>
  <c r="I10" i="5"/>
  <c r="D94" i="5" s="1"/>
  <c r="I10" i="23"/>
  <c r="P127" i="43"/>
  <c r="P105" i="39"/>
  <c r="P100" i="43"/>
  <c r="O56" i="30"/>
  <c r="P117" i="37"/>
  <c r="P101" i="43"/>
  <c r="O25" i="13"/>
  <c r="O37" i="24"/>
  <c r="O40" i="28"/>
  <c r="O66" i="40"/>
  <c r="P109" i="39"/>
  <c r="O49" i="13"/>
  <c r="O24" i="31"/>
  <c r="O54" i="30"/>
  <c r="O66" i="37"/>
  <c r="P117" i="39"/>
  <c r="P111" i="41"/>
  <c r="O31" i="43"/>
  <c r="P105" i="43"/>
  <c r="P108" i="43"/>
  <c r="P112" i="43"/>
  <c r="O54" i="22"/>
  <c r="P113" i="13"/>
  <c r="I10" i="29"/>
  <c r="I10" i="10"/>
  <c r="I10" i="39"/>
  <c r="D94" i="39" s="1"/>
  <c r="I10" i="38"/>
  <c r="I10" i="9"/>
  <c r="D93" i="9"/>
  <c r="C99" i="9" s="1"/>
  <c r="I10" i="24"/>
  <c r="I10" i="31"/>
  <c r="I10" i="11"/>
  <c r="I10" i="30"/>
  <c r="O28" i="13"/>
  <c r="O33" i="3"/>
  <c r="O49" i="7"/>
  <c r="O35" i="7"/>
  <c r="O70" i="10"/>
  <c r="O29" i="39"/>
  <c r="P126" i="39"/>
  <c r="P116" i="43"/>
  <c r="P99" i="13"/>
  <c r="O43" i="22"/>
  <c r="O47" i="27"/>
  <c r="O61" i="27"/>
  <c r="O60" i="31"/>
  <c r="O69" i="37"/>
  <c r="O52" i="40"/>
  <c r="P113" i="40"/>
  <c r="O59" i="10"/>
  <c r="O60" i="30"/>
  <c r="O62" i="30"/>
  <c r="O64" i="30"/>
  <c r="O66" i="30"/>
  <c r="O70" i="37"/>
  <c r="P109" i="37"/>
  <c r="P107" i="38"/>
  <c r="O40" i="39"/>
  <c r="P129" i="40"/>
  <c r="O29" i="41"/>
  <c r="P125" i="43"/>
  <c r="I10" i="43"/>
  <c r="D93" i="43" s="1"/>
  <c r="I10" i="3"/>
  <c r="D93" i="3"/>
  <c r="C99" i="3" s="1"/>
  <c r="I10" i="25"/>
  <c r="I10" i="4"/>
  <c r="I10" i="42"/>
  <c r="A2" i="1"/>
  <c r="A2" i="2" s="1"/>
  <c r="I10" i="22"/>
  <c r="D94" i="22"/>
  <c r="I10" i="27"/>
  <c r="I10" i="7"/>
  <c r="D94" i="7"/>
  <c r="I10" i="37"/>
  <c r="I10" i="8"/>
  <c r="O71" i="29"/>
  <c r="O26" i="43"/>
  <c r="O65" i="13"/>
  <c r="O59" i="13"/>
  <c r="O51" i="13"/>
  <c r="O26" i="22"/>
  <c r="O65" i="23"/>
  <c r="O49" i="23"/>
  <c r="O50" i="29"/>
  <c r="O23" i="39"/>
  <c r="P108" i="40"/>
  <c r="O28" i="6"/>
  <c r="O38" i="7"/>
  <c r="O66" i="11"/>
  <c r="O56" i="11"/>
  <c r="P117" i="13"/>
  <c r="O72" i="22"/>
  <c r="O56" i="28"/>
  <c r="O22" i="38"/>
  <c r="O33" i="38"/>
  <c r="P113" i="38"/>
  <c r="P128" i="38"/>
  <c r="O59" i="39"/>
  <c r="O35" i="40"/>
  <c r="P115" i="40"/>
  <c r="P125" i="40"/>
  <c r="P104" i="41"/>
  <c r="O63" i="42"/>
  <c r="O55" i="31"/>
  <c r="O68" i="37"/>
  <c r="O48" i="38"/>
  <c r="P104" i="38"/>
  <c r="P119" i="38"/>
  <c r="O54" i="39"/>
  <c r="P106" i="40"/>
  <c r="P119" i="40"/>
  <c r="O51" i="41"/>
  <c r="O28" i="43"/>
  <c r="P99" i="43"/>
  <c r="P111" i="43"/>
  <c r="C55" i="1"/>
  <c r="C8" i="1"/>
  <c r="C76" i="1"/>
  <c r="C61" i="1"/>
  <c r="C80" i="1"/>
  <c r="C10" i="1"/>
  <c r="C79" i="1"/>
  <c r="C14" i="1"/>
  <c r="C50" i="1"/>
  <c r="C82" i="1"/>
  <c r="C28" i="1"/>
  <c r="C73" i="1"/>
  <c r="C56" i="1"/>
  <c r="C22" i="1"/>
  <c r="C77" i="1"/>
  <c r="C39" i="1"/>
  <c r="C62" i="1"/>
  <c r="C59" i="1"/>
  <c r="D18" i="13"/>
  <c r="D92" i="43"/>
  <c r="O71" i="38"/>
  <c r="P124" i="43"/>
  <c r="O62" i="13"/>
  <c r="O38" i="30"/>
  <c r="O70" i="30"/>
  <c r="O32" i="31"/>
  <c r="P105" i="37"/>
  <c r="P125" i="37"/>
  <c r="P103" i="39"/>
  <c r="P121" i="40"/>
  <c r="P106" i="41"/>
  <c r="O19" i="43"/>
  <c r="O44" i="43"/>
  <c r="O34" i="10"/>
  <c r="O31" i="24"/>
  <c r="O66" i="27"/>
  <c r="O35" i="28"/>
  <c r="O22" i="29"/>
  <c r="O29" i="31"/>
  <c r="O20" i="38"/>
  <c r="O57" i="38"/>
  <c r="O68" i="38"/>
  <c r="O72" i="11"/>
  <c r="O61" i="38"/>
  <c r="O53" i="38"/>
  <c r="D93" i="22"/>
  <c r="C99" i="22" s="1"/>
  <c r="D29" i="9"/>
  <c r="D26" i="22"/>
  <c r="D30" i="7"/>
  <c r="B30" i="7" s="1"/>
  <c r="D18" i="40"/>
  <c r="B18" i="40"/>
  <c r="D27" i="4"/>
  <c r="D18" i="43"/>
  <c r="B18" i="43"/>
  <c r="D27" i="5"/>
  <c r="D28" i="6"/>
  <c r="B28" i="6" s="1"/>
  <c r="D22" i="31"/>
  <c r="B22" i="31"/>
  <c r="D22" i="28"/>
  <c r="B22" i="28" s="1"/>
  <c r="I21" i="31"/>
  <c r="M17" i="43"/>
  <c r="N17" i="43"/>
  <c r="O17" i="43" s="1"/>
  <c r="I21" i="28"/>
  <c r="B29" i="9"/>
  <c r="I26" i="5"/>
  <c r="K17" i="43"/>
  <c r="L17" i="43"/>
  <c r="I17" i="43"/>
  <c r="D19" i="39"/>
  <c r="B19" i="39" s="1"/>
  <c r="D29" i="11"/>
  <c r="I25" i="22"/>
  <c r="B22" i="27"/>
  <c r="I17" i="40"/>
  <c r="D94" i="43"/>
  <c r="D93" i="40"/>
  <c r="D92" i="40"/>
  <c r="P119" i="13"/>
  <c r="I26" i="4"/>
  <c r="I28" i="9"/>
  <c r="I29" i="7"/>
  <c r="I27" i="6"/>
  <c r="C99" i="40"/>
  <c r="I28" i="11"/>
  <c r="I18" i="39"/>
  <c r="I22" i="27"/>
  <c r="D19" i="38"/>
  <c r="B19" i="38" s="1"/>
  <c r="D18" i="42"/>
  <c r="B18" i="42" s="1"/>
  <c r="D26" i="25"/>
  <c r="B26" i="25" s="1"/>
  <c r="D21" i="30"/>
  <c r="B21" i="30"/>
  <c r="D30" i="10"/>
  <c r="D27" i="3"/>
  <c r="B27" i="3"/>
  <c r="D28" i="8"/>
  <c r="D22" i="29"/>
  <c r="B22" i="29" s="1"/>
  <c r="D24" i="24"/>
  <c r="D25" i="23"/>
  <c r="B25" i="23" s="1"/>
  <c r="I18" i="38"/>
  <c r="D18" i="41"/>
  <c r="D19" i="37"/>
  <c r="B19" i="37" s="1"/>
  <c r="I24" i="23"/>
  <c r="I23" i="24"/>
  <c r="I29" i="10"/>
  <c r="I25" i="25"/>
  <c r="K17" i="42"/>
  <c r="L17" i="42" s="1"/>
  <c r="K17" i="41"/>
  <c r="L17" i="41" s="1"/>
  <c r="I18" i="37"/>
  <c r="M17" i="41"/>
  <c r="N17" i="41"/>
  <c r="I17" i="41"/>
  <c r="I27" i="8"/>
  <c r="I17" i="42"/>
  <c r="M17" i="42"/>
  <c r="N17" i="42" s="1"/>
  <c r="O17" i="42" s="1"/>
  <c r="I21" i="29"/>
  <c r="B30" i="10"/>
  <c r="I20" i="30"/>
  <c r="P106" i="42"/>
  <c r="P114" i="42"/>
  <c r="P125" i="42"/>
  <c r="P118" i="42"/>
  <c r="O27" i="42"/>
  <c r="O35" i="42"/>
  <c r="O71" i="42"/>
  <c r="P110" i="42"/>
  <c r="P121" i="42"/>
  <c r="P129" i="42"/>
  <c r="O39" i="42"/>
  <c r="P107" i="42"/>
  <c r="O19" i="41"/>
  <c r="O21" i="41"/>
  <c r="O34" i="41"/>
  <c r="O64" i="41"/>
  <c r="P102" i="41"/>
  <c r="P117" i="41"/>
  <c r="P119" i="41"/>
  <c r="P121" i="41"/>
  <c r="P129" i="41"/>
  <c r="O55" i="41"/>
  <c r="O57" i="41"/>
  <c r="O71" i="41"/>
  <c r="P105" i="41"/>
  <c r="P109" i="41"/>
  <c r="P113" i="39"/>
  <c r="P111" i="38"/>
  <c r="P115" i="38"/>
  <c r="P126" i="38"/>
  <c r="P116" i="38"/>
  <c r="C45" i="24"/>
  <c r="C46" i="24" s="1"/>
  <c r="C47" i="24" s="1"/>
  <c r="C48" i="24"/>
  <c r="C49" i="24" s="1"/>
  <c r="C50" i="24" s="1"/>
  <c r="C51" i="24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 s="1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M88" i="41"/>
  <c r="L86" i="41"/>
  <c r="N88" i="41"/>
  <c r="O88" i="41" s="1"/>
  <c r="N87" i="41"/>
  <c r="M87" i="41"/>
  <c r="N87" i="5"/>
  <c r="L86" i="37"/>
  <c r="J92" i="7"/>
  <c r="M87" i="7" s="1"/>
  <c r="J92" i="24"/>
  <c r="L86" i="24" s="1"/>
  <c r="J92" i="30"/>
  <c r="N87" i="30" s="1"/>
  <c r="O87" i="30" s="1"/>
  <c r="D93" i="25"/>
  <c r="D94" i="25"/>
  <c r="P116" i="39"/>
  <c r="P114" i="41"/>
  <c r="D93" i="31"/>
  <c r="D94" i="31"/>
  <c r="P128" i="13"/>
  <c r="P126" i="13"/>
  <c r="P104" i="13"/>
  <c r="P106" i="37"/>
  <c r="P112" i="38"/>
  <c r="P102" i="39"/>
  <c r="P99" i="40"/>
  <c r="P112" i="40"/>
  <c r="P117" i="40"/>
  <c r="P123" i="40"/>
  <c r="P107" i="41"/>
  <c r="P109" i="42"/>
  <c r="P128" i="43"/>
  <c r="P106" i="13"/>
  <c r="P127" i="37"/>
  <c r="P115" i="41"/>
  <c r="P130" i="42"/>
  <c r="P109" i="43"/>
  <c r="O27" i="43"/>
  <c r="O36" i="43"/>
  <c r="O50" i="43"/>
  <c r="O69" i="43"/>
  <c r="O22" i="43"/>
  <c r="O32" i="43"/>
  <c r="O51" i="43"/>
  <c r="O59" i="43"/>
  <c r="O64" i="43"/>
  <c r="O68" i="43"/>
  <c r="O29" i="43"/>
  <c r="O40" i="43"/>
  <c r="O46" i="43"/>
  <c r="O54" i="43"/>
  <c r="O63" i="43"/>
  <c r="O71" i="43"/>
  <c r="O18" i="43"/>
  <c r="O33" i="43"/>
  <c r="O38" i="43"/>
  <c r="O26" i="42"/>
  <c r="O32" i="42"/>
  <c r="O53" i="42"/>
  <c r="O65" i="42"/>
  <c r="O67" i="42"/>
  <c r="O19" i="42"/>
  <c r="O23" i="42"/>
  <c r="O25" i="42"/>
  <c r="O29" i="42"/>
  <c r="O31" i="42"/>
  <c r="O48" i="42"/>
  <c r="O50" i="42"/>
  <c r="O58" i="42"/>
  <c r="O20" i="42"/>
  <c r="O34" i="42"/>
  <c r="O45" i="42"/>
  <c r="O54" i="42"/>
  <c r="O60" i="42"/>
  <c r="O62" i="42"/>
  <c r="O69" i="42"/>
  <c r="O21" i="42"/>
  <c r="O33" i="42"/>
  <c r="O37" i="42"/>
  <c r="O55" i="42"/>
  <c r="O57" i="42"/>
  <c r="O59" i="42"/>
  <c r="O61" i="42"/>
  <c r="O68" i="42"/>
  <c r="O18" i="41"/>
  <c r="O20" i="41"/>
  <c r="O22" i="41"/>
  <c r="O24" i="41"/>
  <c r="O26" i="41"/>
  <c r="O53" i="41"/>
  <c r="O58" i="41"/>
  <c r="O60" i="41"/>
  <c r="O69" i="41"/>
  <c r="O17" i="40"/>
  <c r="O45" i="40"/>
  <c r="O47" i="40"/>
  <c r="O49" i="40"/>
  <c r="O53" i="40"/>
  <c r="O55" i="40"/>
  <c r="O44" i="40"/>
  <c r="O56" i="40"/>
  <c r="O64" i="42"/>
  <c r="O43" i="42"/>
  <c r="O63" i="41"/>
  <c r="B18" i="41"/>
  <c r="O18" i="39"/>
  <c r="O31" i="39"/>
  <c r="O35" i="39"/>
  <c r="O37" i="39"/>
  <c r="O52" i="39"/>
  <c r="O65" i="39"/>
  <c r="O20" i="39"/>
  <c r="O22" i="39"/>
  <c r="O71" i="39"/>
  <c r="O42" i="39"/>
  <c r="O57" i="39"/>
  <c r="O46" i="39"/>
  <c r="O50" i="39"/>
  <c r="O70" i="39"/>
  <c r="O62" i="39"/>
  <c r="O38" i="39"/>
  <c r="O66" i="39"/>
  <c r="O18" i="38"/>
  <c r="O23" i="38"/>
  <c r="O26" i="38"/>
  <c r="O28" i="38"/>
  <c r="O30" i="38"/>
  <c r="O32" i="38"/>
  <c r="O36" i="38"/>
  <c r="O46" i="38"/>
  <c r="O56" i="38"/>
  <c r="O60" i="38"/>
  <c r="O62" i="38"/>
  <c r="O37" i="38"/>
  <c r="O42" i="38"/>
  <c r="O50" i="38"/>
  <c r="O52" i="38"/>
  <c r="O58" i="38"/>
  <c r="O18" i="37"/>
  <c r="O24" i="37"/>
  <c r="O71" i="37"/>
  <c r="O33" i="37"/>
  <c r="O41" i="37"/>
  <c r="O56" i="37"/>
  <c r="O62" i="37"/>
  <c r="O64" i="37"/>
  <c r="O37" i="37"/>
  <c r="O43" i="37"/>
  <c r="O29" i="37"/>
  <c r="O55" i="37"/>
  <c r="O21" i="31"/>
  <c r="O48" i="31"/>
  <c r="O52" i="31"/>
  <c r="O54" i="31"/>
  <c r="O28" i="31"/>
  <c r="O64" i="31"/>
  <c r="O66" i="31"/>
  <c r="O40" i="31"/>
  <c r="O42" i="31"/>
  <c r="O20" i="30"/>
  <c r="O43" i="30"/>
  <c r="O45" i="30"/>
  <c r="O47" i="30"/>
  <c r="O49" i="30"/>
  <c r="O34" i="30"/>
  <c r="O40" i="30"/>
  <c r="O42" i="30"/>
  <c r="O23" i="30"/>
  <c r="O29" i="30"/>
  <c r="O35" i="30"/>
  <c r="O39" i="30"/>
  <c r="O44" i="30"/>
  <c r="O53" i="30"/>
  <c r="O27" i="28"/>
  <c r="O29" i="28"/>
  <c r="O31" i="28"/>
  <c r="O54" i="28"/>
  <c r="O58" i="28"/>
  <c r="O34" i="28"/>
  <c r="O53" i="28"/>
  <c r="O55" i="28"/>
  <c r="O57" i="28"/>
  <c r="O46" i="28"/>
  <c r="O52" i="27"/>
  <c r="O64" i="27"/>
  <c r="O23" i="27"/>
  <c r="O29" i="27"/>
  <c r="O31" i="27"/>
  <c r="O54" i="27"/>
  <c r="O56" i="27"/>
  <c r="O58" i="27"/>
  <c r="O44" i="25"/>
  <c r="O30" i="25"/>
  <c r="O28" i="25"/>
  <c r="O62" i="25"/>
  <c r="O51" i="25"/>
  <c r="O38" i="25"/>
  <c r="O41" i="24"/>
  <c r="O35" i="24"/>
  <c r="O29" i="24"/>
  <c r="O71" i="24"/>
  <c r="O55" i="24"/>
  <c r="O63" i="24"/>
  <c r="O61" i="24"/>
  <c r="O66" i="23"/>
  <c r="O67" i="23"/>
  <c r="O47" i="23"/>
  <c r="O71" i="22"/>
  <c r="O60" i="22"/>
  <c r="O58" i="22"/>
  <c r="O52" i="22"/>
  <c r="O50" i="22"/>
  <c r="O70" i="22"/>
  <c r="O66" i="22"/>
  <c r="O57" i="22"/>
  <c r="O53" i="22"/>
  <c r="O46" i="22"/>
  <c r="O41" i="22"/>
  <c r="B26" i="22"/>
  <c r="O59" i="11"/>
  <c r="O57" i="11"/>
  <c r="B29" i="11"/>
  <c r="O40" i="11"/>
  <c r="O68" i="10"/>
  <c r="O42" i="10"/>
  <c r="O28" i="9"/>
  <c r="O56" i="9"/>
  <c r="O54" i="9"/>
  <c r="O39" i="8"/>
  <c r="O28" i="8"/>
  <c r="O40" i="7"/>
  <c r="O32" i="7"/>
  <c r="O66" i="6"/>
  <c r="O37" i="5"/>
  <c r="O71" i="4"/>
  <c r="O63" i="4"/>
  <c r="B27" i="4"/>
  <c r="O68" i="3"/>
  <c r="O60" i="3"/>
  <c r="L86" i="30"/>
  <c r="M87" i="30"/>
  <c r="M87" i="24"/>
  <c r="N87" i="7"/>
  <c r="L86" i="7"/>
  <c r="C99" i="25"/>
  <c r="C100" i="25" s="1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C126" i="25" s="1"/>
  <c r="B27" i="5"/>
  <c r="D94" i="6"/>
  <c r="B24" i="24"/>
  <c r="C128" i="13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C45" i="13"/>
  <c r="C46" i="13" s="1"/>
  <c r="C47" i="13"/>
  <c r="C48" i="13" s="1"/>
  <c r="C49" i="13" s="1"/>
  <c r="C50" i="13" s="1"/>
  <c r="C51" i="13" s="1"/>
  <c r="C52" i="13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B110" i="10"/>
  <c r="J95" i="23"/>
  <c r="C127" i="28"/>
  <c r="C128" i="28"/>
  <c r="C129" i="28" s="1"/>
  <c r="C130" i="28"/>
  <c r="C131" i="28" s="1"/>
  <c r="C132" i="28" s="1"/>
  <c r="C133" i="28" s="1"/>
  <c r="C134" i="28" s="1"/>
  <c r="C135" i="28" s="1"/>
  <c r="C136" i="28" s="1"/>
  <c r="C137" i="28" s="1"/>
  <c r="C138" i="28"/>
  <c r="C139" i="28" s="1"/>
  <c r="C140" i="28" s="1"/>
  <c r="C141" i="28" s="1"/>
  <c r="C142" i="28" s="1"/>
  <c r="C143" i="28" s="1"/>
  <c r="C144" i="28" s="1"/>
  <c r="C145" i="28" s="1"/>
  <c r="C146" i="28"/>
  <c r="C147" i="28" s="1"/>
  <c r="C148" i="28" s="1"/>
  <c r="C149" i="28" s="1"/>
  <c r="C150" i="28" s="1"/>
  <c r="C151" i="28" s="1"/>
  <c r="C152" i="28" s="1"/>
  <c r="C153" i="28" s="1"/>
  <c r="C154" i="28"/>
  <c r="C45" i="11"/>
  <c r="C46" i="1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45" i="10"/>
  <c r="C46" i="10"/>
  <c r="C47" i="10" s="1"/>
  <c r="C48" i="10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45" i="3"/>
  <c r="C46" i="3"/>
  <c r="C47" i="3" s="1"/>
  <c r="C48" i="3" s="1"/>
  <c r="C49" i="3" s="1"/>
  <c r="C50" i="3" s="1"/>
  <c r="C51" i="3" s="1"/>
  <c r="C52" i="3"/>
  <c r="C53" i="3" s="1"/>
  <c r="C54" i="3" s="1"/>
  <c r="C55" i="3" s="1"/>
  <c r="C56" i="3" s="1"/>
  <c r="C57" i="3" s="1"/>
  <c r="C58" i="3" s="1"/>
  <c r="C59" i="3" s="1"/>
  <c r="C60" i="3"/>
  <c r="C61" i="3" s="1"/>
  <c r="C62" i="3" s="1"/>
  <c r="C63" i="3" s="1"/>
  <c r="C64" i="3" s="1"/>
  <c r="C65" i="3" s="1"/>
  <c r="C66" i="3" s="1"/>
  <c r="C67" i="3" s="1"/>
  <c r="C68" i="3"/>
  <c r="C69" i="3" s="1"/>
  <c r="C70" i="3" s="1"/>
  <c r="C71" i="3" s="1"/>
  <c r="C72" i="3" s="1"/>
  <c r="C45" i="25"/>
  <c r="C46" i="25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C59" i="25" s="1"/>
  <c r="C60" i="25" s="1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C45" i="28"/>
  <c r="C46" i="28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C45" i="29"/>
  <c r="C46" i="29" s="1"/>
  <c r="C47" i="29" s="1"/>
  <c r="C48" i="29" s="1"/>
  <c r="C49" i="29" s="1"/>
  <c r="C50" i="29" s="1"/>
  <c r="C51" i="29" s="1"/>
  <c r="C52" i="29" s="1"/>
  <c r="C53" i="29"/>
  <c r="C54" i="29" s="1"/>
  <c r="C55" i="29" s="1"/>
  <c r="C56" i="29" s="1"/>
  <c r="C57" i="29" s="1"/>
  <c r="C58" i="29" s="1"/>
  <c r="C59" i="29" s="1"/>
  <c r="C60" i="29" s="1"/>
  <c r="C61" i="29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C45" i="37"/>
  <c r="C46" i="37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N87" i="37"/>
  <c r="N87" i="23"/>
  <c r="O87" i="23"/>
  <c r="L86" i="23"/>
  <c r="M87" i="8"/>
  <c r="L86" i="8"/>
  <c r="J95" i="22"/>
  <c r="C45" i="27"/>
  <c r="C46" i="27" s="1"/>
  <c r="C47" i="27"/>
  <c r="C48" i="27" s="1"/>
  <c r="C49" i="27" s="1"/>
  <c r="C50" i="27" s="1"/>
  <c r="C51" i="27" s="1"/>
  <c r="C52" i="27" s="1"/>
  <c r="C53" i="27" s="1"/>
  <c r="C54" i="27" s="1"/>
  <c r="C55" i="27"/>
  <c r="C56" i="27" s="1"/>
  <c r="C57" i="27" s="1"/>
  <c r="C58" i="27" s="1"/>
  <c r="C59" i="27" s="1"/>
  <c r="C60" i="27" s="1"/>
  <c r="C61" i="27" s="1"/>
  <c r="C62" i="27" s="1"/>
  <c r="C63" i="27"/>
  <c r="C64" i="27" s="1"/>
  <c r="C65" i="27" s="1"/>
  <c r="C66" i="27" s="1"/>
  <c r="C67" i="27" s="1"/>
  <c r="C68" i="27" s="1"/>
  <c r="C69" i="27" s="1"/>
  <c r="C70" i="27" s="1"/>
  <c r="C71" i="27"/>
  <c r="C72" i="27" s="1"/>
  <c r="B109" i="9"/>
  <c r="C45" i="9"/>
  <c r="C46" i="9"/>
  <c r="C47" i="9" s="1"/>
  <c r="C48" i="9" s="1"/>
  <c r="C49" i="9" s="1"/>
  <c r="C50" i="9" s="1"/>
  <c r="C51" i="9" s="1"/>
  <c r="C52" i="9" s="1"/>
  <c r="C53" i="9" s="1"/>
  <c r="C54" i="9"/>
  <c r="C55" i="9" s="1"/>
  <c r="C56" i="9" s="1"/>
  <c r="C57" i="9" s="1"/>
  <c r="C58" i="9" s="1"/>
  <c r="C59" i="9" s="1"/>
  <c r="C60" i="9" s="1"/>
  <c r="C61" i="9" s="1"/>
  <c r="C62" i="9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N87" i="9"/>
  <c r="B106" i="22"/>
  <c r="C45" i="4"/>
  <c r="C46" i="4"/>
  <c r="C47" i="4" s="1"/>
  <c r="C48" i="4" s="1"/>
  <c r="C49" i="4" s="1"/>
  <c r="C50" i="4" s="1"/>
  <c r="C51" i="4" s="1"/>
  <c r="C52" i="4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M87" i="4"/>
  <c r="N87" i="4"/>
  <c r="O87" i="4" s="1"/>
  <c r="N87" i="22"/>
  <c r="O87" i="22" s="1"/>
  <c r="P137" i="3"/>
  <c r="O18" i="3"/>
  <c r="P149" i="5"/>
  <c r="P114" i="7"/>
  <c r="P101" i="11"/>
  <c r="M87" i="31"/>
  <c r="O87" i="31" s="1"/>
  <c r="P123" i="13"/>
  <c r="P115" i="13"/>
  <c r="O44" i="13"/>
  <c r="O24" i="8"/>
  <c r="P149" i="3"/>
  <c r="P143" i="3"/>
  <c r="P122" i="3"/>
  <c r="O66" i="4"/>
  <c r="P123" i="5"/>
  <c r="P102" i="7"/>
  <c r="P154" i="8"/>
  <c r="P99" i="11"/>
  <c r="P101" i="13"/>
  <c r="J94" i="44"/>
  <c r="J94" i="45"/>
  <c r="J95" i="45" s="1"/>
  <c r="J94" i="43"/>
  <c r="J95" i="43" s="1"/>
  <c r="J94" i="42"/>
  <c r="J95" i="42" s="1"/>
  <c r="I99" i="42" s="1"/>
  <c r="J94" i="41"/>
  <c r="J95" i="41" s="1"/>
  <c r="O64" i="23"/>
  <c r="P117" i="24"/>
  <c r="O65" i="24"/>
  <c r="O59" i="24"/>
  <c r="O69" i="23"/>
  <c r="O57" i="23"/>
  <c r="O39" i="23"/>
  <c r="O49" i="24"/>
  <c r="I12" i="45"/>
  <c r="G17" i="45" s="1"/>
  <c r="I13" i="45"/>
  <c r="H17" i="45"/>
  <c r="I12" i="44"/>
  <c r="I13" i="44"/>
  <c r="H17" i="44" s="1"/>
  <c r="O20" i="25"/>
  <c r="O39" i="28"/>
  <c r="P115" i="28"/>
  <c r="P103" i="3"/>
  <c r="P103" i="4"/>
  <c r="O21" i="22"/>
  <c r="O55" i="30"/>
  <c r="O59" i="31"/>
  <c r="O19" i="27"/>
  <c r="O30" i="28"/>
  <c r="O51" i="28"/>
  <c r="O65" i="28"/>
  <c r="O69" i="28"/>
  <c r="P112" i="28"/>
  <c r="P103" i="5"/>
  <c r="O23" i="8"/>
  <c r="O25" i="10"/>
  <c r="O19" i="24"/>
  <c r="P102" i="25"/>
  <c r="O27" i="30"/>
  <c r="O33" i="30"/>
  <c r="O63" i="30"/>
  <c r="O36" i="31"/>
  <c r="P106" i="9"/>
  <c r="O17" i="27"/>
  <c r="P105" i="11"/>
  <c r="O17" i="31"/>
  <c r="O18" i="29"/>
  <c r="P122" i="38"/>
  <c r="P122" i="39"/>
  <c r="P104" i="40"/>
  <c r="O25" i="8"/>
  <c r="P104" i="25"/>
  <c r="O48" i="41"/>
  <c r="O56" i="41"/>
  <c r="O35" i="37"/>
  <c r="O24" i="4"/>
  <c r="O26" i="11"/>
  <c r="O41" i="42"/>
  <c r="P103" i="42"/>
  <c r="O60" i="43"/>
  <c r="P106" i="3"/>
  <c r="P106" i="5"/>
  <c r="P108" i="11"/>
  <c r="O22" i="24"/>
  <c r="O20" i="29"/>
  <c r="O21" i="28"/>
  <c r="O36" i="42"/>
  <c r="P100" i="42"/>
  <c r="O35" i="43"/>
  <c r="O57" i="43"/>
  <c r="O66" i="43"/>
  <c r="O26" i="4"/>
  <c r="J92" i="45"/>
  <c r="L86" i="45" s="1"/>
  <c r="J92" i="44"/>
  <c r="N88" i="44" s="1"/>
  <c r="J92" i="43"/>
  <c r="J92" i="42"/>
  <c r="N87" i="42" s="1"/>
  <c r="O87" i="42" s="1"/>
  <c r="J92" i="6"/>
  <c r="L86" i="6" s="1"/>
  <c r="P117" i="42"/>
  <c r="O25" i="5"/>
  <c r="P107" i="6"/>
  <c r="P108" i="9"/>
  <c r="O24" i="22"/>
  <c r="P104" i="23"/>
  <c r="P101" i="28"/>
  <c r="O20" i="31"/>
  <c r="I10" i="45"/>
  <c r="I10" i="44"/>
  <c r="D92" i="44" s="1"/>
  <c r="J96" i="44" s="1"/>
  <c r="O26" i="5"/>
  <c r="O27" i="6"/>
  <c r="O21" i="29"/>
  <c r="O28" i="11"/>
  <c r="O25" i="25"/>
  <c r="O38" i="44"/>
  <c r="G17" i="44"/>
  <c r="O66" i="45"/>
  <c r="C18" i="44"/>
  <c r="C19" i="44"/>
  <c r="C20" i="44" s="1"/>
  <c r="C21" i="44" s="1"/>
  <c r="C22" i="44" s="1"/>
  <c r="C23" i="44" s="1"/>
  <c r="C24" i="44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N87" i="43"/>
  <c r="M87" i="43"/>
  <c r="J95" i="44"/>
  <c r="D94" i="44"/>
  <c r="D93" i="44"/>
  <c r="M87" i="42"/>
  <c r="L86" i="42"/>
  <c r="O27" i="40"/>
  <c r="D93" i="5"/>
  <c r="O45" i="27"/>
  <c r="O59" i="38"/>
  <c r="O63" i="38"/>
  <c r="P118" i="39"/>
  <c r="O35" i="41"/>
  <c r="O39" i="41"/>
  <c r="O61" i="44"/>
  <c r="O44" i="45"/>
  <c r="O52" i="45"/>
  <c r="O23" i="40"/>
  <c r="O68" i="44"/>
  <c r="O45" i="3"/>
  <c r="O45" i="5"/>
  <c r="O48" i="8"/>
  <c r="O36" i="8"/>
  <c r="O45" i="9"/>
  <c r="O26" i="25"/>
  <c r="O26" i="27"/>
  <c r="O52" i="29"/>
  <c r="O43" i="41"/>
  <c r="O37" i="45"/>
  <c r="P107" i="45"/>
  <c r="O33" i="25"/>
  <c r="O71" i="28"/>
  <c r="O26" i="45"/>
  <c r="O30" i="45"/>
  <c r="O61" i="6"/>
  <c r="O71" i="40"/>
  <c r="O50" i="41"/>
  <c r="C123" i="43"/>
  <c r="C124" i="43" s="1"/>
  <c r="C125" i="43" s="1"/>
  <c r="C126" i="43" s="1"/>
  <c r="C127" i="43" s="1"/>
  <c r="C128" i="43" s="1"/>
  <c r="C129" i="43" s="1"/>
  <c r="C130" i="43" s="1"/>
  <c r="C131" i="43" s="1"/>
  <c r="C132" i="43" s="1"/>
  <c r="C133" i="43" s="1"/>
  <c r="C134" i="43" s="1"/>
  <c r="C135" i="43" s="1"/>
  <c r="C136" i="43" s="1"/>
  <c r="C137" i="43" s="1"/>
  <c r="C138" i="43" s="1"/>
  <c r="C139" i="43" s="1"/>
  <c r="C140" i="43" s="1"/>
  <c r="C141" i="43" s="1"/>
  <c r="C142" i="43" s="1"/>
  <c r="C143" i="43" s="1"/>
  <c r="C144" i="43" s="1"/>
  <c r="C145" i="43" s="1"/>
  <c r="C146" i="43" s="1"/>
  <c r="C147" i="43" s="1"/>
  <c r="C148" i="43" s="1"/>
  <c r="C149" i="43" s="1"/>
  <c r="C150" i="43" s="1"/>
  <c r="C151" i="43" s="1"/>
  <c r="C152" i="43" s="1"/>
  <c r="C153" i="43" s="1"/>
  <c r="C154" i="43" s="1"/>
  <c r="O55" i="6"/>
  <c r="O52" i="9"/>
  <c r="O71" i="11"/>
  <c r="P124" i="13"/>
  <c r="O49" i="29"/>
  <c r="O48" i="37"/>
  <c r="P121" i="37"/>
  <c r="P129" i="37"/>
  <c r="O21" i="38"/>
  <c r="O29" i="38"/>
  <c r="O58" i="39"/>
  <c r="P116" i="40"/>
  <c r="O61" i="43"/>
  <c r="O32" i="44"/>
  <c r="O36" i="44"/>
  <c r="O57" i="6"/>
  <c r="O31" i="40"/>
  <c r="C99" i="43"/>
  <c r="C100" i="43" s="1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1" i="43" s="1"/>
  <c r="C112" i="43" s="1"/>
  <c r="C113" i="43" s="1"/>
  <c r="C114" i="43" s="1"/>
  <c r="C115" i="43" s="1"/>
  <c r="C116" i="43" s="1"/>
  <c r="C117" i="43" s="1"/>
  <c r="C118" i="43" s="1"/>
  <c r="C119" i="43" s="1"/>
  <c r="C120" i="43" s="1"/>
  <c r="C121" i="43" s="1"/>
  <c r="C122" i="43" s="1"/>
  <c r="O71" i="10"/>
  <c r="O53" i="23"/>
  <c r="O45" i="23"/>
  <c r="P100" i="37"/>
  <c r="O34" i="40"/>
  <c r="O38" i="37"/>
  <c r="O62" i="3"/>
  <c r="O50" i="3"/>
  <c r="O35" i="3"/>
  <c r="O51" i="4"/>
  <c r="O33" i="4"/>
  <c r="O29" i="4"/>
  <c r="O46" i="6"/>
  <c r="O61" i="8"/>
  <c r="O32" i="9"/>
  <c r="O54" i="11"/>
  <c r="O37" i="22"/>
  <c r="O33" i="22"/>
  <c r="O66" i="24"/>
  <c r="O62" i="24"/>
  <c r="O58" i="43"/>
  <c r="O49" i="10"/>
  <c r="O71" i="13"/>
  <c r="O46" i="13"/>
  <c r="O34" i="13"/>
  <c r="O61" i="22"/>
  <c r="O41" i="28"/>
  <c r="O43" i="29"/>
  <c r="O48" i="30"/>
  <c r="O52" i="30"/>
  <c r="O62" i="31"/>
  <c r="O70" i="31"/>
  <c r="O34" i="37"/>
  <c r="O40" i="38"/>
  <c r="O67" i="38"/>
  <c r="O21" i="39"/>
  <c r="O47" i="39"/>
  <c r="P125" i="39"/>
  <c r="O42" i="40"/>
  <c r="O59" i="41"/>
  <c r="O24" i="43"/>
  <c r="P104" i="43"/>
  <c r="O21" i="44"/>
  <c r="O40" i="44"/>
  <c r="O58" i="44"/>
  <c r="O69" i="44"/>
  <c r="P100" i="44"/>
  <c r="O41" i="45"/>
  <c r="O62" i="45"/>
  <c r="P111" i="45"/>
  <c r="P115" i="45"/>
  <c r="P119" i="45"/>
  <c r="O48" i="11"/>
  <c r="P112" i="13"/>
  <c r="O33" i="13"/>
  <c r="O19" i="13"/>
  <c r="O67" i="22"/>
  <c r="O59" i="23"/>
  <c r="O48" i="23"/>
  <c r="O68" i="24"/>
  <c r="O53" i="24"/>
  <c r="O39" i="24"/>
  <c r="O68" i="25"/>
  <c r="O50" i="25"/>
  <c r="O42" i="27"/>
  <c r="O34" i="29"/>
  <c r="O37" i="29"/>
  <c r="O37" i="30"/>
  <c r="O67" i="31"/>
  <c r="O27" i="37"/>
  <c r="O59" i="37"/>
  <c r="P130" i="38"/>
  <c r="P101" i="39"/>
  <c r="P119" i="39"/>
  <c r="O20" i="40"/>
  <c r="O59" i="40"/>
  <c r="O55" i="13"/>
  <c r="O44" i="41"/>
  <c r="P101" i="41"/>
  <c r="P113" i="41"/>
  <c r="P124" i="41"/>
  <c r="P128" i="41"/>
  <c r="O40" i="42"/>
  <c r="O17" i="44"/>
  <c r="O51" i="44"/>
  <c r="O55" i="44"/>
  <c r="O49" i="45"/>
  <c r="O63" i="45"/>
  <c r="P101" i="45"/>
  <c r="P127" i="45"/>
  <c r="O42" i="8"/>
  <c r="O62" i="23"/>
  <c r="O64" i="24"/>
  <c r="O67" i="25"/>
  <c r="O53" i="25"/>
  <c r="O49" i="25"/>
  <c r="O24" i="27"/>
  <c r="O35" i="27"/>
  <c r="O39" i="27"/>
  <c r="O51" i="27"/>
  <c r="O22" i="28"/>
  <c r="O59" i="28"/>
  <c r="O54" i="29"/>
  <c r="O62" i="29"/>
  <c r="O22" i="31"/>
  <c r="O44" i="31"/>
  <c r="O56" i="31"/>
  <c r="O49" i="37"/>
  <c r="P102" i="37"/>
  <c r="P123" i="37"/>
  <c r="O33" i="39"/>
  <c r="O41" i="39"/>
  <c r="O21" i="40"/>
  <c r="O29" i="40"/>
  <c r="O32" i="40"/>
  <c r="O40" i="40"/>
  <c r="O70" i="40"/>
  <c r="P128" i="40"/>
  <c r="P108" i="44"/>
  <c r="P115" i="44"/>
  <c r="P119" i="44"/>
  <c r="O39" i="45"/>
  <c r="O56" i="45"/>
  <c r="O60" i="45"/>
  <c r="O71" i="45"/>
  <c r="P102" i="45"/>
  <c r="P113" i="45"/>
  <c r="P124" i="45"/>
  <c r="O40" i="13"/>
  <c r="O36" i="13"/>
  <c r="O63" i="22"/>
  <c r="O55" i="22"/>
  <c r="O67" i="24"/>
  <c r="O52" i="24"/>
  <c r="O59" i="29"/>
  <c r="O46" i="30"/>
  <c r="P120" i="37"/>
  <c r="O69" i="38"/>
  <c r="O45" i="39"/>
  <c r="O56" i="39"/>
  <c r="O68" i="41"/>
  <c r="P125" i="41"/>
  <c r="O41" i="43"/>
  <c r="O48" i="43"/>
  <c r="O67" i="43"/>
  <c r="P118" i="43"/>
  <c r="O23" i="44"/>
  <c r="O45" i="44"/>
  <c r="O52" i="44"/>
  <c r="O72" i="9"/>
  <c r="O61" i="10"/>
  <c r="O36" i="10"/>
  <c r="O72" i="13"/>
  <c r="O35" i="13"/>
  <c r="O62" i="22"/>
  <c r="O68" i="23"/>
  <c r="O42" i="23"/>
  <c r="O25" i="23"/>
  <c r="O48" i="25"/>
  <c r="O68" i="27"/>
  <c r="O39" i="29"/>
  <c r="O42" i="29"/>
  <c r="O51" i="30"/>
  <c r="O27" i="31"/>
  <c r="O38" i="31"/>
  <c r="O47" i="37"/>
  <c r="O47" i="38"/>
  <c r="P117" i="38"/>
  <c r="O68" i="39"/>
  <c r="O57" i="40"/>
  <c r="O45" i="41"/>
  <c r="P127" i="42"/>
  <c r="O23" i="43"/>
  <c r="O34" i="43"/>
  <c r="O49" i="43"/>
  <c r="P103" i="43"/>
  <c r="O25" i="45"/>
  <c r="L86" i="43"/>
  <c r="N88" i="43"/>
  <c r="M88" i="43"/>
  <c r="M89" i="43" s="1"/>
  <c r="B28" i="8"/>
  <c r="N88" i="45"/>
  <c r="D92" i="42"/>
  <c r="J96" i="42"/>
  <c r="D93" i="42"/>
  <c r="D94" i="42"/>
  <c r="N6" i="42"/>
  <c r="N5" i="42"/>
  <c r="N7" i="42" s="1"/>
  <c r="C99" i="6"/>
  <c r="C100" i="6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D93" i="10"/>
  <c r="C103" i="10" s="1"/>
  <c r="C104" i="10" s="1"/>
  <c r="C100" i="10"/>
  <c r="C101" i="10"/>
  <c r="C102" i="10"/>
  <c r="D94" i="10"/>
  <c r="D93" i="11"/>
  <c r="D94" i="11"/>
  <c r="C100" i="40"/>
  <c r="C101" i="40"/>
  <c r="C102" i="40" s="1"/>
  <c r="D93" i="8"/>
  <c r="D94" i="8"/>
  <c r="M87" i="27"/>
  <c r="B109" i="11"/>
  <c r="M87" i="22"/>
  <c r="D94" i="37"/>
  <c r="P99" i="24"/>
  <c r="P141" i="5"/>
  <c r="C100" i="22"/>
  <c r="C101" i="22"/>
  <c r="C102" i="22" s="1"/>
  <c r="C103" i="22" s="1"/>
  <c r="C104" i="22" s="1"/>
  <c r="C105" i="22" s="1"/>
  <c r="C106" i="22" s="1"/>
  <c r="C107" i="22" s="1"/>
  <c r="C108" i="22"/>
  <c r="C109" i="22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P140" i="4"/>
  <c r="O17" i="5"/>
  <c r="D94" i="3"/>
  <c r="C99" i="31"/>
  <c r="C100" i="31"/>
  <c r="C101" i="31"/>
  <c r="C102" i="31" s="1"/>
  <c r="C103" i="31" s="1"/>
  <c r="C104" i="31" s="1"/>
  <c r="C105" i="31" s="1"/>
  <c r="C106" i="31" s="1"/>
  <c r="C107" i="31" s="1"/>
  <c r="C108" i="3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D94" i="13"/>
  <c r="B103" i="27"/>
  <c r="L86" i="31"/>
  <c r="P131" i="4"/>
  <c r="O18" i="27"/>
  <c r="P101" i="3"/>
  <c r="P153" i="5"/>
  <c r="O17" i="8"/>
  <c r="O18" i="10"/>
  <c r="P99" i="22"/>
  <c r="O20" i="10"/>
  <c r="O42" i="7"/>
  <c r="O72" i="8"/>
  <c r="P124" i="22"/>
  <c r="O69" i="25"/>
  <c r="O37" i="27"/>
  <c r="O44" i="23"/>
  <c r="P125" i="24"/>
  <c r="P121" i="24"/>
  <c r="O46" i="27"/>
  <c r="O43" i="27"/>
  <c r="O50" i="23"/>
  <c r="O27" i="23"/>
  <c r="O25" i="27"/>
  <c r="O55" i="27"/>
  <c r="O30" i="23"/>
  <c r="O52" i="25"/>
  <c r="P101" i="25"/>
  <c r="O23" i="9"/>
  <c r="P104" i="11"/>
  <c r="O33" i="28"/>
  <c r="P118" i="29"/>
  <c r="O22" i="4"/>
  <c r="P103" i="6"/>
  <c r="P99" i="25"/>
  <c r="O25" i="7"/>
  <c r="O67" i="28"/>
  <c r="O18" i="25"/>
  <c r="P104" i="8"/>
  <c r="O65" i="30"/>
  <c r="O25" i="9"/>
  <c r="O18" i="31"/>
  <c r="O50" i="40"/>
  <c r="O69" i="31"/>
  <c r="P104" i="5"/>
  <c r="O22" i="25"/>
  <c r="P99" i="29"/>
  <c r="O64" i="39"/>
  <c r="P110" i="39"/>
  <c r="O18" i="30"/>
  <c r="P100" i="31"/>
  <c r="P104" i="3"/>
  <c r="O21" i="24"/>
  <c r="O32" i="41"/>
  <c r="P103" i="25"/>
  <c r="P100" i="27"/>
  <c r="P103" i="22"/>
  <c r="O19" i="40"/>
  <c r="O61" i="40"/>
  <c r="P106" i="6"/>
  <c r="P106" i="8"/>
  <c r="O23" i="22"/>
  <c r="P101" i="27"/>
  <c r="J92" i="25"/>
  <c r="J92" i="11"/>
  <c r="N87" i="11" s="1"/>
  <c r="J92" i="39"/>
  <c r="J92" i="10"/>
  <c r="M87" i="10" s="1"/>
  <c r="J92" i="38"/>
  <c r="J92" i="3"/>
  <c r="L86" i="3" s="1"/>
  <c r="P126" i="42"/>
  <c r="O27" i="8"/>
  <c r="P128" i="44"/>
  <c r="O58" i="40"/>
  <c r="O52" i="41"/>
  <c r="O24" i="25"/>
  <c r="O24" i="23"/>
  <c r="O22" i="27"/>
  <c r="P123" i="42"/>
  <c r="O72" i="43"/>
  <c r="P119" i="43"/>
  <c r="O19" i="28"/>
  <c r="O38" i="41"/>
  <c r="O49" i="41"/>
  <c r="O28" i="10"/>
  <c r="O28" i="7"/>
  <c r="P105" i="25"/>
  <c r="O23" i="24"/>
  <c r="O56" i="44"/>
  <c r="P112" i="44"/>
  <c r="O46" i="41"/>
  <c r="O62" i="43"/>
  <c r="C99" i="8"/>
  <c r="C100" i="8" s="1"/>
  <c r="C101" i="8" s="1"/>
  <c r="C102" i="8" s="1"/>
  <c r="C103" i="8" s="1"/>
  <c r="C104" i="8" s="1"/>
  <c r="C105" i="8"/>
  <c r="C106" i="8" s="1"/>
  <c r="C107" i="8" s="1"/>
  <c r="C108" i="8" s="1"/>
  <c r="C109" i="8" s="1"/>
  <c r="C110" i="8" s="1"/>
  <c r="C111" i="8" s="1"/>
  <c r="C112" i="8" s="1"/>
  <c r="C113" i="8" s="1"/>
  <c r="C114" i="8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99" i="10"/>
  <c r="C104" i="42"/>
  <c r="C105" i="42"/>
  <c r="C106" i="42"/>
  <c r="C107" i="42"/>
  <c r="C108" i="42"/>
  <c r="C109" i="42"/>
  <c r="C110" i="42"/>
  <c r="C111" i="42"/>
  <c r="C112" i="42"/>
  <c r="C113" i="42"/>
  <c r="C114" i="42"/>
  <c r="C115" i="42"/>
  <c r="C116" i="42"/>
  <c r="C117" i="42"/>
  <c r="C118" i="42"/>
  <c r="C119" i="42"/>
  <c r="C120" i="42"/>
  <c r="C121" i="42"/>
  <c r="C122" i="42"/>
  <c r="C123" i="42"/>
  <c r="C124" i="42"/>
  <c r="C125" i="42"/>
  <c r="C126" i="42"/>
  <c r="C127" i="42"/>
  <c r="C128" i="42"/>
  <c r="C129" i="42"/>
  <c r="C130" i="42"/>
  <c r="C131" i="42"/>
  <c r="C132" i="42"/>
  <c r="C133" i="42"/>
  <c r="C134" i="42"/>
  <c r="C135" i="42"/>
  <c r="C136" i="42"/>
  <c r="C99" i="42"/>
  <c r="C137" i="42"/>
  <c r="C138" i="42"/>
  <c r="C139" i="42"/>
  <c r="C140" i="42"/>
  <c r="C141" i="42"/>
  <c r="C142" i="42"/>
  <c r="C143" i="42"/>
  <c r="C144" i="42"/>
  <c r="C145" i="42"/>
  <c r="C146" i="42"/>
  <c r="C147" i="42"/>
  <c r="C148" i="42"/>
  <c r="C149" i="42"/>
  <c r="C150" i="42"/>
  <c r="C151" i="42"/>
  <c r="C152" i="42"/>
  <c r="C153" i="42"/>
  <c r="C154" i="42"/>
  <c r="C100" i="42"/>
  <c r="C101" i="42"/>
  <c r="C102" i="42"/>
  <c r="C103" i="42"/>
  <c r="M87" i="11"/>
  <c r="O87" i="11" s="1"/>
  <c r="M87" i="25"/>
  <c r="C99" i="11"/>
  <c r="C100" i="1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I17" i="44"/>
  <c r="N6" i="44"/>
  <c r="C100" i="3"/>
  <c r="C101" i="3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E99" i="42"/>
  <c r="F99" i="42" s="1"/>
  <c r="D93" i="7"/>
  <c r="G17" i="13"/>
  <c r="I17" i="13" s="1"/>
  <c r="O63" i="3"/>
  <c r="O57" i="3"/>
  <c r="O55" i="3"/>
  <c r="O70" i="4"/>
  <c r="O53" i="4"/>
  <c r="O49" i="4"/>
  <c r="O47" i="4"/>
  <c r="O45" i="4"/>
  <c r="O43" i="4"/>
  <c r="O41" i="4"/>
  <c r="O28" i="5"/>
  <c r="O63" i="6"/>
  <c r="O34" i="6"/>
  <c r="O32" i="6"/>
  <c r="O72" i="7"/>
  <c r="O66" i="7"/>
  <c r="O51" i="7"/>
  <c r="O46" i="7"/>
  <c r="O31" i="7"/>
  <c r="O65" i="8"/>
  <c r="O52" i="8"/>
  <c r="O50" i="8"/>
  <c r="O46" i="8"/>
  <c r="O44" i="8"/>
  <c r="O38" i="8"/>
  <c r="O34" i="8"/>
  <c r="O30" i="8"/>
  <c r="O71" i="9"/>
  <c r="O66" i="9"/>
  <c r="O43" i="9"/>
  <c r="O41" i="9"/>
  <c r="O39" i="9"/>
  <c r="O30" i="9"/>
  <c r="O69" i="10"/>
  <c r="O67" i="10"/>
  <c r="O65" i="10"/>
  <c r="O60" i="10"/>
  <c r="O58" i="10"/>
  <c r="O55" i="10"/>
  <c r="O53" i="10"/>
  <c r="O47" i="10"/>
  <c r="O43" i="10"/>
  <c r="O39" i="10"/>
  <c r="O53" i="11"/>
  <c r="O44" i="11"/>
  <c r="O34" i="23"/>
  <c r="N6" i="45"/>
  <c r="O33" i="5"/>
  <c r="O57" i="8"/>
  <c r="O55" i="8"/>
  <c r="O60" i="9"/>
  <c r="O58" i="9"/>
  <c r="O50" i="9"/>
  <c r="O48" i="9"/>
  <c r="O72" i="10"/>
  <c r="O33" i="10"/>
  <c r="O31" i="10"/>
  <c r="O87" i="7"/>
  <c r="O66" i="3"/>
  <c r="O69" i="4"/>
  <c r="O62" i="4"/>
  <c r="O48" i="4"/>
  <c r="O34" i="4"/>
  <c r="O47" i="5"/>
  <c r="O43" i="5"/>
  <c r="O38" i="5"/>
  <c r="O27" i="5"/>
  <c r="O64" i="6"/>
  <c r="O45" i="6"/>
  <c r="O43" i="6"/>
  <c r="O59" i="7"/>
  <c r="O50" i="7"/>
  <c r="O69" i="8"/>
  <c r="O53" i="8"/>
  <c r="O43" i="8"/>
  <c r="O41" i="8"/>
  <c r="O35" i="8"/>
  <c r="O33" i="8"/>
  <c r="O31" i="8"/>
  <c r="O33" i="9"/>
  <c r="O52" i="10"/>
  <c r="O46" i="10"/>
  <c r="O47" i="13"/>
  <c r="P111" i="13"/>
  <c r="O56" i="13"/>
  <c r="O54" i="13"/>
  <c r="O48" i="13"/>
  <c r="O60" i="23"/>
  <c r="O26" i="23"/>
  <c r="O42" i="24"/>
  <c r="O36" i="24"/>
  <c r="O24" i="24"/>
  <c r="O65" i="25"/>
  <c r="O59" i="25"/>
  <c r="O57" i="25"/>
  <c r="O55" i="25"/>
  <c r="O42" i="25"/>
  <c r="O27" i="27"/>
  <c r="O60" i="27"/>
  <c r="O62" i="27"/>
  <c r="O44" i="28"/>
  <c r="O25" i="29"/>
  <c r="O36" i="29"/>
  <c r="O38" i="29"/>
  <c r="O44" i="29"/>
  <c r="O48" i="29"/>
  <c r="O37" i="31"/>
  <c r="O39" i="31"/>
  <c r="O47" i="31"/>
  <c r="O49" i="31"/>
  <c r="O65" i="31"/>
  <c r="O42" i="37"/>
  <c r="O28" i="40"/>
  <c r="O60" i="40"/>
  <c r="O39" i="43"/>
  <c r="O25" i="44"/>
  <c r="O67" i="11"/>
  <c r="O63" i="11"/>
  <c r="O66" i="13"/>
  <c r="O33" i="27"/>
  <c r="O43" i="28"/>
  <c r="O62" i="28"/>
  <c r="O33" i="29"/>
  <c r="O67" i="29"/>
  <c r="O34" i="31"/>
  <c r="O46" i="31"/>
  <c r="O68" i="31"/>
  <c r="O21" i="37"/>
  <c r="P125" i="45"/>
  <c r="O50" i="10"/>
  <c r="O41" i="10"/>
  <c r="O38" i="10"/>
  <c r="O68" i="11"/>
  <c r="O64" i="11"/>
  <c r="O62" i="11"/>
  <c r="O38" i="11"/>
  <c r="O34" i="11"/>
  <c r="O69" i="13"/>
  <c r="O67" i="13"/>
  <c r="O63" i="13"/>
  <c r="O30" i="13"/>
  <c r="O26" i="13"/>
  <c r="O23" i="13"/>
  <c r="O18" i="13"/>
  <c r="O69" i="22"/>
  <c r="O65" i="22"/>
  <c r="O47" i="22"/>
  <c r="O36" i="22"/>
  <c r="O32" i="22"/>
  <c r="O30" i="22"/>
  <c r="O72" i="23"/>
  <c r="O70" i="23"/>
  <c r="O54" i="23"/>
  <c r="O37" i="23"/>
  <c r="O32" i="23"/>
  <c r="O69" i="24"/>
  <c r="O56" i="24"/>
  <c r="O47" i="24"/>
  <c r="O45" i="24"/>
  <c r="O33" i="24"/>
  <c r="O27" i="24"/>
  <c r="O60" i="25"/>
  <c r="O58" i="25"/>
  <c r="O56" i="25"/>
  <c r="O54" i="25"/>
  <c r="O40" i="25"/>
  <c r="O36" i="25"/>
  <c r="O29" i="25"/>
  <c r="O30" i="27"/>
  <c r="O32" i="27"/>
  <c r="O34" i="27"/>
  <c r="O36" i="27"/>
  <c r="O38" i="27"/>
  <c r="O40" i="27"/>
  <c r="O44" i="27"/>
  <c r="O48" i="27"/>
  <c r="O57" i="27"/>
  <c r="O59" i="27"/>
  <c r="O63" i="27"/>
  <c r="O65" i="27"/>
  <c r="O28" i="28"/>
  <c r="O57" i="29"/>
  <c r="O22" i="30"/>
  <c r="O24" i="30"/>
  <c r="O69" i="30"/>
  <c r="O72" i="31"/>
  <c r="O40" i="37"/>
  <c r="O45" i="37"/>
  <c r="O54" i="37"/>
  <c r="P112" i="37"/>
  <c r="P114" i="37"/>
  <c r="O24" i="38"/>
  <c r="O39" i="38"/>
  <c r="O41" i="38"/>
  <c r="O54" i="38"/>
  <c r="O65" i="38"/>
  <c r="O19" i="39"/>
  <c r="O28" i="39"/>
  <c r="O30" i="39"/>
  <c r="O39" i="39"/>
  <c r="O43" i="39"/>
  <c r="P121" i="39"/>
  <c r="P130" i="39"/>
  <c r="O18" i="40"/>
  <c r="O26" i="40"/>
  <c r="O37" i="40"/>
  <c r="O48" i="40"/>
  <c r="O54" i="40"/>
  <c r="O65" i="40"/>
  <c r="O67" i="40"/>
  <c r="O69" i="40"/>
  <c r="P102" i="40"/>
  <c r="P110" i="40"/>
  <c r="O28" i="41"/>
  <c r="O62" i="41"/>
  <c r="P99" i="41"/>
  <c r="P103" i="41"/>
  <c r="O52" i="42"/>
  <c r="O70" i="42"/>
  <c r="O72" i="42"/>
  <c r="P119" i="42"/>
  <c r="O52" i="43"/>
  <c r="O70" i="43"/>
  <c r="P115" i="43"/>
  <c r="P117" i="43"/>
  <c r="P121" i="43"/>
  <c r="O18" i="44"/>
  <c r="O41" i="44"/>
  <c r="O50" i="44"/>
  <c r="O70" i="44"/>
  <c r="P104" i="44"/>
  <c r="P106" i="44"/>
  <c r="P126" i="44"/>
  <c r="O22" i="45"/>
  <c r="O24" i="45"/>
  <c r="O48" i="45"/>
  <c r="O50" i="45"/>
  <c r="O54" i="45"/>
  <c r="O68" i="45"/>
  <c r="P100" i="45"/>
  <c r="P108" i="45"/>
  <c r="P112" i="45"/>
  <c r="P121" i="45"/>
  <c r="P123" i="45"/>
  <c r="F48" i="1"/>
  <c r="F52" i="1" s="1"/>
  <c r="O20" i="43"/>
  <c r="O30" i="43"/>
  <c r="O43" i="43"/>
  <c r="O20" i="44"/>
  <c r="O24" i="44"/>
  <c r="O27" i="44"/>
  <c r="O30" i="44"/>
  <c r="O65" i="44"/>
  <c r="P101" i="44"/>
  <c r="F14" i="1"/>
  <c r="E19" i="1" s="1"/>
  <c r="F19" i="1" s="1"/>
  <c r="O39" i="37"/>
  <c r="O52" i="37"/>
  <c r="P103" i="38"/>
  <c r="O26" i="39"/>
  <c r="O63" i="40"/>
  <c r="O36" i="41"/>
  <c r="O61" i="41"/>
  <c r="O65" i="41"/>
  <c r="P100" i="41"/>
  <c r="O53" i="44"/>
  <c r="O64" i="44"/>
  <c r="O71" i="44"/>
  <c r="O18" i="45"/>
  <c r="O57" i="45"/>
  <c r="P130" i="45"/>
  <c r="F18" i="1"/>
  <c r="F20" i="1" s="1"/>
  <c r="E32" i="1" s="1"/>
  <c r="F88" i="1"/>
  <c r="F89" i="1"/>
  <c r="F91" i="1" s="1"/>
  <c r="F92" i="1"/>
  <c r="F93" i="1" s="1"/>
  <c r="D13" i="29" s="1"/>
  <c r="I14" i="29" s="1"/>
  <c r="C127" i="22"/>
  <c r="C128" i="22"/>
  <c r="C129" i="22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C127" i="1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127" i="8"/>
  <c r="C128" i="8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127" i="6"/>
  <c r="C128" i="6"/>
  <c r="C129" i="6" s="1"/>
  <c r="C130" i="6" s="1"/>
  <c r="C131" i="6"/>
  <c r="C132" i="6" s="1"/>
  <c r="C133" i="6" s="1"/>
  <c r="C134" i="6" s="1"/>
  <c r="C135" i="6" s="1"/>
  <c r="C136" i="6" s="1"/>
  <c r="C137" i="6" s="1"/>
  <c r="C138" i="6" s="1"/>
  <c r="C139" i="6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27" i="25"/>
  <c r="C128" i="25"/>
  <c r="C129" i="25" s="1"/>
  <c r="C130" i="25"/>
  <c r="C131" i="25"/>
  <c r="C132" i="25" s="1"/>
  <c r="C133" i="25" s="1"/>
  <c r="C134" i="25" s="1"/>
  <c r="C135" i="25" s="1"/>
  <c r="C136" i="25" s="1"/>
  <c r="C137" i="25" s="1"/>
  <c r="C138" i="25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C127" i="31"/>
  <c r="C128" i="31"/>
  <c r="C129" i="31" s="1"/>
  <c r="C130" i="31" s="1"/>
  <c r="C131" i="31" s="1"/>
  <c r="C132" i="31" s="1"/>
  <c r="C133" i="31" s="1"/>
  <c r="C134" i="31" s="1"/>
  <c r="C135" i="3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1" i="31"/>
  <c r="C152" i="31" s="1"/>
  <c r="C153" i="31" s="1"/>
  <c r="C154" i="31" s="1"/>
  <c r="E99" i="44"/>
  <c r="C100" i="44"/>
  <c r="C101" i="44"/>
  <c r="C102" i="44"/>
  <c r="C103" i="44"/>
  <c r="C104" i="44"/>
  <c r="C105" i="44"/>
  <c r="C106" i="44"/>
  <c r="C107" i="44"/>
  <c r="C108" i="44"/>
  <c r="C109" i="44"/>
  <c r="C110" i="44"/>
  <c r="C111" i="44"/>
  <c r="C112" i="44"/>
  <c r="C113" i="44"/>
  <c r="C114" i="44"/>
  <c r="C115" i="44"/>
  <c r="C116" i="44"/>
  <c r="C117" i="44"/>
  <c r="C118" i="44"/>
  <c r="C119" i="44"/>
  <c r="C120" i="44"/>
  <c r="C121" i="44"/>
  <c r="C122" i="44"/>
  <c r="C123" i="44"/>
  <c r="C124" i="44"/>
  <c r="C125" i="44"/>
  <c r="C126" i="44"/>
  <c r="C127" i="44"/>
  <c r="C128" i="44"/>
  <c r="C129" i="44"/>
  <c r="C130" i="44"/>
  <c r="C131" i="44"/>
  <c r="C132" i="44"/>
  <c r="C133" i="44"/>
  <c r="C134" i="44"/>
  <c r="C135" i="44"/>
  <c r="C136" i="44"/>
  <c r="C137" i="44"/>
  <c r="C138" i="44"/>
  <c r="C139" i="44"/>
  <c r="C140" i="44"/>
  <c r="C141" i="44"/>
  <c r="C142" i="44"/>
  <c r="C143" i="44"/>
  <c r="C144" i="44"/>
  <c r="C145" i="44"/>
  <c r="C146" i="44"/>
  <c r="C147" i="44"/>
  <c r="C148" i="44"/>
  <c r="C149" i="44"/>
  <c r="C150" i="44"/>
  <c r="C151" i="44"/>
  <c r="C152" i="44"/>
  <c r="C153" i="44"/>
  <c r="C154" i="44"/>
  <c r="C99" i="44"/>
  <c r="F99" i="44" s="1"/>
  <c r="D93" i="4"/>
  <c r="D94" i="4"/>
  <c r="D94" i="30"/>
  <c r="D93" i="30"/>
  <c r="C103" i="40"/>
  <c r="C104" i="40" s="1"/>
  <c r="C105" i="40"/>
  <c r="C106" i="40" s="1"/>
  <c r="C107" i="40" s="1"/>
  <c r="C108" i="40" s="1"/>
  <c r="C109" i="40" s="1"/>
  <c r="C110" i="40" s="1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 s="1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E18" i="13"/>
  <c r="F18" i="13" s="1"/>
  <c r="B18" i="13"/>
  <c r="D93" i="38"/>
  <c r="D92" i="38"/>
  <c r="D94" i="38"/>
  <c r="D93" i="29"/>
  <c r="D94" i="29"/>
  <c r="D93" i="45"/>
  <c r="D94" i="45"/>
  <c r="O28" i="3"/>
  <c r="O52" i="4"/>
  <c r="O50" i="4"/>
  <c r="O46" i="4"/>
  <c r="O44" i="4"/>
  <c r="O27" i="4"/>
  <c r="O44" i="5"/>
  <c r="O62" i="6"/>
  <c r="O47" i="6"/>
  <c r="O40" i="6"/>
  <c r="O37" i="6"/>
  <c r="O30" i="6"/>
  <c r="O56" i="7"/>
  <c r="O47" i="7"/>
  <c r="O57" i="9"/>
  <c r="O45" i="10"/>
  <c r="P120" i="13"/>
  <c r="O27" i="22"/>
  <c r="O31" i="25"/>
  <c r="D93" i="37"/>
  <c r="D92" i="37"/>
  <c r="E99" i="13"/>
  <c r="F99" i="13" s="1"/>
  <c r="D100" i="13" s="1"/>
  <c r="O69" i="3"/>
  <c r="O68" i="4"/>
  <c r="O29" i="5"/>
  <c r="O72" i="6"/>
  <c r="O67" i="8"/>
  <c r="O62" i="8"/>
  <c r="O51" i="3"/>
  <c r="O27" i="3"/>
  <c r="O72" i="4"/>
  <c r="O65" i="4"/>
  <c r="O36" i="4"/>
  <c r="O30" i="5"/>
  <c r="O59" i="6"/>
  <c r="O53" i="6"/>
  <c r="O49" i="6"/>
  <c r="O44" i="6"/>
  <c r="O29" i="6"/>
  <c r="O43" i="7"/>
  <c r="O30" i="7"/>
  <c r="O71" i="8"/>
  <c r="O64" i="8"/>
  <c r="O59" i="8"/>
  <c r="O63" i="9"/>
  <c r="D94" i="9"/>
  <c r="D94" i="41"/>
  <c r="O45" i="8"/>
  <c r="O62" i="9"/>
  <c r="O59" i="9"/>
  <c r="O51" i="10"/>
  <c r="O50" i="11"/>
  <c r="O66" i="25"/>
  <c r="O62" i="10"/>
  <c r="O52" i="13"/>
  <c r="O43" i="13"/>
  <c r="O39" i="13"/>
  <c r="O29" i="22"/>
  <c r="O42" i="28"/>
  <c r="O49" i="28"/>
  <c r="O41" i="29"/>
  <c r="O45" i="29"/>
  <c r="O68" i="29"/>
  <c r="O61" i="30"/>
  <c r="O25" i="31"/>
  <c r="O45" i="31"/>
  <c r="O67" i="37"/>
  <c r="P111" i="37"/>
  <c r="P108" i="38"/>
  <c r="P129" i="43"/>
  <c r="O49" i="27"/>
  <c r="O68" i="30"/>
  <c r="O33" i="31"/>
  <c r="O57" i="37"/>
  <c r="P128" i="37"/>
  <c r="O38" i="38"/>
  <c r="O36" i="40"/>
  <c r="O38" i="40"/>
  <c r="O39" i="44"/>
  <c r="O27" i="38"/>
  <c r="O44" i="38"/>
  <c r="P105" i="38"/>
  <c r="P124" i="38"/>
  <c r="O60" i="39"/>
  <c r="P107" i="39"/>
  <c r="O24" i="40"/>
  <c r="O41" i="41"/>
  <c r="O47" i="41"/>
  <c r="P110" i="41"/>
  <c r="O21" i="43"/>
  <c r="O55" i="43"/>
  <c r="P122" i="44"/>
  <c r="O32" i="45"/>
  <c r="O43" i="45"/>
  <c r="P114" i="45"/>
  <c r="P129" i="45"/>
  <c r="E25" i="1"/>
  <c r="E26" i="1" s="1"/>
  <c r="G99" i="42"/>
  <c r="D100" i="42"/>
  <c r="B100" i="42" s="1"/>
  <c r="D13" i="6"/>
  <c r="I14" i="6" s="1"/>
  <c r="D13" i="8"/>
  <c r="I14" i="8" s="1"/>
  <c r="D13" i="27"/>
  <c r="I14" i="27"/>
  <c r="E23" i="27" s="1"/>
  <c r="F23" i="27" s="1"/>
  <c r="D13" i="44"/>
  <c r="I14" i="44"/>
  <c r="D13" i="43"/>
  <c r="I14" i="43"/>
  <c r="D13" i="28"/>
  <c r="I14" i="28" s="1"/>
  <c r="D13" i="13"/>
  <c r="D13" i="41"/>
  <c r="I14" i="41"/>
  <c r="E18" i="41" s="1"/>
  <c r="D13" i="40"/>
  <c r="I14" i="40"/>
  <c r="D13" i="24"/>
  <c r="I14" i="24" s="1"/>
  <c r="D13" i="42"/>
  <c r="I14" i="42" s="1"/>
  <c r="D13" i="38"/>
  <c r="I14" i="38" s="1"/>
  <c r="D13" i="5"/>
  <c r="I14" i="5"/>
  <c r="E27" i="5" s="1"/>
  <c r="F27" i="5" s="1"/>
  <c r="D13" i="10"/>
  <c r="I14" i="10" s="1"/>
  <c r="D13" i="3"/>
  <c r="I14" i="3"/>
  <c r="E27" i="3" s="1"/>
  <c r="F27" i="3" s="1"/>
  <c r="D13" i="4"/>
  <c r="I14" i="4"/>
  <c r="C99" i="7"/>
  <c r="C100" i="7" s="1"/>
  <c r="C101" i="7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D13" i="37"/>
  <c r="I14" i="37" s="1"/>
  <c r="D13" i="7"/>
  <c r="I14" i="7"/>
  <c r="E30" i="7" s="1"/>
  <c r="F30" i="7" s="1"/>
  <c r="D13" i="22"/>
  <c r="I14" i="22" s="1"/>
  <c r="D13" i="30"/>
  <c r="I14" i="30" s="1"/>
  <c r="D13" i="25"/>
  <c r="I14" i="25" s="1"/>
  <c r="D13" i="39"/>
  <c r="I14" i="39"/>
  <c r="E19" i="39" s="1"/>
  <c r="D13" i="11"/>
  <c r="I14" i="11"/>
  <c r="D13" i="23"/>
  <c r="I14" i="23" s="1"/>
  <c r="D13" i="45"/>
  <c r="I14" i="45" s="1"/>
  <c r="D13" i="9"/>
  <c r="I14" i="9"/>
  <c r="E29" i="9"/>
  <c r="G18" i="13"/>
  <c r="I18" i="13" s="1"/>
  <c r="D19" i="13"/>
  <c r="E19" i="13" s="1"/>
  <c r="F19" i="13" s="1"/>
  <c r="C99" i="38"/>
  <c r="C100" i="38" s="1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E29" i="11"/>
  <c r="F29" i="11" s="1"/>
  <c r="E22" i="29"/>
  <c r="C100" i="45"/>
  <c r="C101" i="45"/>
  <c r="C102" i="45"/>
  <c r="C103" i="45"/>
  <c r="C104" i="45"/>
  <c r="C105" i="45"/>
  <c r="C106" i="45"/>
  <c r="C107" i="45"/>
  <c r="C108" i="45"/>
  <c r="C109" i="45"/>
  <c r="C110" i="45"/>
  <c r="C111" i="45"/>
  <c r="C112" i="45"/>
  <c r="C113" i="45"/>
  <c r="C114" i="45"/>
  <c r="C115" i="45"/>
  <c r="C116" i="45"/>
  <c r="C117" i="45"/>
  <c r="C118" i="45"/>
  <c r="C119" i="45"/>
  <c r="C120" i="45"/>
  <c r="C121" i="45"/>
  <c r="C122" i="45"/>
  <c r="C123" i="45"/>
  <c r="C124" i="45"/>
  <c r="C125" i="45"/>
  <c r="C126" i="45"/>
  <c r="C127" i="45"/>
  <c r="C128" i="45"/>
  <c r="C129" i="45"/>
  <c r="C130" i="45"/>
  <c r="C131" i="45"/>
  <c r="C132" i="45"/>
  <c r="C133" i="45"/>
  <c r="C134" i="45"/>
  <c r="C135" i="45"/>
  <c r="C136" i="45"/>
  <c r="C137" i="45"/>
  <c r="C138" i="45"/>
  <c r="C139" i="45"/>
  <c r="C140" i="45"/>
  <c r="C141" i="45"/>
  <c r="C142" i="45"/>
  <c r="C143" i="45"/>
  <c r="C144" i="45"/>
  <c r="C145" i="45"/>
  <c r="C146" i="45"/>
  <c r="C147" i="45"/>
  <c r="C148" i="45"/>
  <c r="C149" i="45"/>
  <c r="C150" i="45"/>
  <c r="C151" i="45"/>
  <c r="C152" i="45"/>
  <c r="C153" i="45"/>
  <c r="C154" i="45"/>
  <c r="C99" i="45"/>
  <c r="C99" i="30"/>
  <c r="C100" i="30" s="1"/>
  <c r="C101" i="30" s="1"/>
  <c r="C102" i="30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E27" i="4"/>
  <c r="F27" i="4" s="1"/>
  <c r="E18" i="44"/>
  <c r="E18" i="43"/>
  <c r="E18" i="40"/>
  <c r="F18" i="40" s="1"/>
  <c r="C99" i="29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0" i="29" s="1"/>
  <c r="C111" i="29" s="1"/>
  <c r="C112" i="29" s="1"/>
  <c r="C113" i="29" s="1"/>
  <c r="C114" i="29" s="1"/>
  <c r="C115" i="29" s="1"/>
  <c r="C116" i="29" s="1"/>
  <c r="C117" i="29" s="1"/>
  <c r="C118" i="29" s="1"/>
  <c r="C119" i="29" s="1"/>
  <c r="C120" i="29" s="1"/>
  <c r="C121" i="29" s="1"/>
  <c r="C122" i="29" s="1"/>
  <c r="C123" i="29" s="1"/>
  <c r="C124" i="29" s="1"/>
  <c r="C125" i="29" s="1"/>
  <c r="C126" i="29" s="1"/>
  <c r="C127" i="29" s="1"/>
  <c r="C128" i="29" s="1"/>
  <c r="C129" i="29" s="1"/>
  <c r="C130" i="29" s="1"/>
  <c r="C131" i="29" s="1"/>
  <c r="C132" i="29" s="1"/>
  <c r="C133" i="29" s="1"/>
  <c r="C134" i="29" s="1"/>
  <c r="C135" i="29" s="1"/>
  <c r="C136" i="29" s="1"/>
  <c r="C137" i="29" s="1"/>
  <c r="C138" i="29" s="1"/>
  <c r="C139" i="29" s="1"/>
  <c r="C140" i="29" s="1"/>
  <c r="C141" i="29" s="1"/>
  <c r="C142" i="29" s="1"/>
  <c r="C143" i="29" s="1"/>
  <c r="C144" i="29" s="1"/>
  <c r="C145" i="29" s="1"/>
  <c r="C146" i="29" s="1"/>
  <c r="C147" i="29" s="1"/>
  <c r="C148" i="29" s="1"/>
  <c r="C149" i="29" s="1"/>
  <c r="C150" i="29" s="1"/>
  <c r="C151" i="29" s="1"/>
  <c r="C152" i="29" s="1"/>
  <c r="C153" i="29" s="1"/>
  <c r="C154" i="29" s="1"/>
  <c r="C99" i="4"/>
  <c r="C100" i="4" s="1"/>
  <c r="C101" i="4" s="1"/>
  <c r="C102" i="4" s="1"/>
  <c r="C103" i="4" s="1"/>
  <c r="C104" i="4" s="1"/>
  <c r="C105" i="4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99" i="37"/>
  <c r="C100" i="37" s="1"/>
  <c r="C101" i="37" s="1"/>
  <c r="C102" i="37" s="1"/>
  <c r="C103" i="37" s="1"/>
  <c r="C104" i="37" s="1"/>
  <c r="C105" i="37" s="1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H18" i="13"/>
  <c r="E28" i="6"/>
  <c r="E19" i="27"/>
  <c r="D23" i="27"/>
  <c r="D99" i="7"/>
  <c r="F18" i="43"/>
  <c r="F22" i="29"/>
  <c r="B19" i="13"/>
  <c r="F18" i="41"/>
  <c r="F28" i="6"/>
  <c r="H28" i="6" s="1"/>
  <c r="N6" i="6" s="1"/>
  <c r="F18" i="44"/>
  <c r="F29" i="9"/>
  <c r="F19" i="39"/>
  <c r="D23" i="29"/>
  <c r="H27" i="3"/>
  <c r="G18" i="44"/>
  <c r="I18" i="44" s="1"/>
  <c r="D19" i="44"/>
  <c r="H18" i="44"/>
  <c r="E19" i="44"/>
  <c r="G28" i="6"/>
  <c r="N5" i="6" s="1"/>
  <c r="D29" i="6"/>
  <c r="B29" i="6" s="1"/>
  <c r="E29" i="6"/>
  <c r="D30" i="9"/>
  <c r="H29" i="9"/>
  <c r="N6" i="9" s="1"/>
  <c r="N7" i="9" s="1"/>
  <c r="G29" i="9"/>
  <c r="E30" i="9"/>
  <c r="F30" i="9" s="1"/>
  <c r="B23" i="27"/>
  <c r="N5" i="9"/>
  <c r="B30" i="9"/>
  <c r="B19" i="44"/>
  <c r="F19" i="44"/>
  <c r="H19" i="44" s="1"/>
  <c r="D20" i="44"/>
  <c r="O54" i="17"/>
  <c r="N54" i="17"/>
  <c r="F54" i="17"/>
  <c r="C54" i="17"/>
  <c r="I54" i="17"/>
  <c r="E54" i="17"/>
  <c r="D54" i="17"/>
  <c r="R12" i="17" l="1"/>
  <c r="T12" i="17" s="1"/>
  <c r="H99" i="42"/>
  <c r="J99" i="42" s="1"/>
  <c r="N89" i="41"/>
  <c r="P109" i="4"/>
  <c r="P118" i="9"/>
  <c r="P135" i="10"/>
  <c r="P121" i="22"/>
  <c r="P117" i="22"/>
  <c r="P106" i="22"/>
  <c r="P102" i="43"/>
  <c r="P106" i="43"/>
  <c r="P114" i="43"/>
  <c r="P122" i="43"/>
  <c r="P126" i="43"/>
  <c r="P130" i="43"/>
  <c r="P111" i="44"/>
  <c r="P113" i="44"/>
  <c r="P121" i="44"/>
  <c r="P123" i="44"/>
  <c r="P148" i="3"/>
  <c r="P144" i="3"/>
  <c r="P142" i="3"/>
  <c r="P140" i="3"/>
  <c r="P134" i="3"/>
  <c r="P132" i="3"/>
  <c r="P130" i="3"/>
  <c r="P128" i="3"/>
  <c r="P152" i="4"/>
  <c r="P148" i="4"/>
  <c r="P146" i="4"/>
  <c r="P144" i="4"/>
  <c r="P142" i="4"/>
  <c r="P138" i="4"/>
  <c r="P134" i="4"/>
  <c r="P128" i="4"/>
  <c r="P124" i="4"/>
  <c r="P120" i="4"/>
  <c r="P112" i="4"/>
  <c r="P108" i="4"/>
  <c r="P137" i="5"/>
  <c r="P135" i="5"/>
  <c r="P131" i="5"/>
  <c r="P119" i="5"/>
  <c r="P115" i="5"/>
  <c r="P111" i="5"/>
  <c r="P109" i="5"/>
  <c r="P107" i="5"/>
  <c r="P153" i="7"/>
  <c r="P152" i="8"/>
  <c r="P126" i="8"/>
  <c r="P124" i="8"/>
  <c r="P120" i="8"/>
  <c r="P118" i="8"/>
  <c r="P114" i="8"/>
  <c r="P133" i="10"/>
  <c r="P125" i="10"/>
  <c r="P123" i="10"/>
  <c r="P121" i="10"/>
  <c r="P119" i="10"/>
  <c r="P130" i="11"/>
  <c r="P126" i="11"/>
  <c r="P120" i="11"/>
  <c r="P130" i="13"/>
  <c r="P107" i="13"/>
  <c r="P128" i="22"/>
  <c r="P111" i="22"/>
  <c r="P109" i="22"/>
  <c r="P107" i="24"/>
  <c r="P113" i="25"/>
  <c r="P111" i="25"/>
  <c r="P106" i="27"/>
  <c r="P111" i="29"/>
  <c r="P123" i="29"/>
  <c r="P121" i="38"/>
  <c r="P125" i="38"/>
  <c r="P127" i="38"/>
  <c r="P129" i="38"/>
  <c r="P114" i="39"/>
  <c r="P120" i="39"/>
  <c r="P101" i="42"/>
  <c r="P105" i="42"/>
  <c r="P113" i="42"/>
  <c r="P115" i="42"/>
  <c r="P113" i="43"/>
  <c r="P118" i="44"/>
  <c r="P151" i="3"/>
  <c r="P129" i="3"/>
  <c r="P112" i="3"/>
  <c r="P151" i="4"/>
  <c r="P143" i="4"/>
  <c r="P135" i="4"/>
  <c r="P133" i="4"/>
  <c r="P129" i="4"/>
  <c r="P136" i="5"/>
  <c r="P128" i="5"/>
  <c r="P152" i="7"/>
  <c r="P139" i="7"/>
  <c r="P125" i="7"/>
  <c r="P113" i="7"/>
  <c r="P127" i="8"/>
  <c r="P130" i="10"/>
  <c r="P128" i="10"/>
  <c r="P129" i="11"/>
  <c r="P127" i="11"/>
  <c r="P125" i="11"/>
  <c r="P123" i="11"/>
  <c r="P121" i="11"/>
  <c r="P119" i="11"/>
  <c r="P122" i="13"/>
  <c r="P118" i="13"/>
  <c r="P122" i="22"/>
  <c r="P112" i="22"/>
  <c r="P110" i="22"/>
  <c r="P120" i="23"/>
  <c r="P118" i="23"/>
  <c r="P118" i="25"/>
  <c r="P114" i="25"/>
  <c r="F88" i="2"/>
  <c r="F89" i="2" s="1"/>
  <c r="F91" i="2" s="1"/>
  <c r="F92" i="2" s="1"/>
  <c r="F93" i="2" s="1"/>
  <c r="P105" i="27"/>
  <c r="P124" i="27"/>
  <c r="P128" i="27"/>
  <c r="P102" i="29"/>
  <c r="P110" i="29"/>
  <c r="P126" i="29"/>
  <c r="P103" i="30"/>
  <c r="P115" i="30"/>
  <c r="P117" i="30"/>
  <c r="P111" i="31"/>
  <c r="P117" i="31"/>
  <c r="P125" i="31"/>
  <c r="P129" i="31"/>
  <c r="P108" i="37"/>
  <c r="P116" i="37"/>
  <c r="P118" i="37"/>
  <c r="P122" i="37"/>
  <c r="P126" i="37"/>
  <c r="P130" i="37"/>
  <c r="P100" i="38"/>
  <c r="P120" i="38"/>
  <c r="P123" i="41"/>
  <c r="P115" i="29"/>
  <c r="P106" i="30"/>
  <c r="P114" i="30"/>
  <c r="P99" i="39"/>
  <c r="P109" i="40"/>
  <c r="P103" i="44"/>
  <c r="P105" i="44"/>
  <c r="M87" i="45"/>
  <c r="M88" i="45"/>
  <c r="N87" i="45"/>
  <c r="N89" i="45" s="1"/>
  <c r="O87" i="43"/>
  <c r="N88" i="40"/>
  <c r="N87" i="24"/>
  <c r="O87" i="24" s="1"/>
  <c r="M87" i="5"/>
  <c r="O87" i="5" s="1"/>
  <c r="C39" i="2"/>
  <c r="C55" i="2"/>
  <c r="C8" i="2"/>
  <c r="P148" i="5"/>
  <c r="P144" i="5"/>
  <c r="P140" i="5"/>
  <c r="P151" i="7"/>
  <c r="P144" i="10"/>
  <c r="P138" i="10"/>
  <c r="P115" i="22"/>
  <c r="P130" i="24"/>
  <c r="P107" i="25"/>
  <c r="P103" i="37"/>
  <c r="P107" i="37"/>
  <c r="P115" i="37"/>
  <c r="P100" i="40"/>
  <c r="P116" i="42"/>
  <c r="P120" i="42"/>
  <c r="P124" i="42"/>
  <c r="P128" i="42"/>
  <c r="P117" i="44"/>
  <c r="P122" i="45"/>
  <c r="P126" i="45"/>
  <c r="P128" i="45"/>
  <c r="M88" i="44"/>
  <c r="O88" i="44" s="1"/>
  <c r="P149" i="10"/>
  <c r="P137" i="10"/>
  <c r="P109" i="23"/>
  <c r="P102" i="28"/>
  <c r="P106" i="28"/>
  <c r="P110" i="28"/>
  <c r="P114" i="28"/>
  <c r="P122" i="28"/>
  <c r="P126" i="28"/>
  <c r="P110" i="38"/>
  <c r="P114" i="38"/>
  <c r="P112" i="41"/>
  <c r="P116" i="41"/>
  <c r="P120" i="41"/>
  <c r="P114" i="44"/>
  <c r="P107" i="31"/>
  <c r="P139" i="3"/>
  <c r="L86" i="28"/>
  <c r="M87" i="28"/>
  <c r="G99" i="13"/>
  <c r="I99" i="13" s="1"/>
  <c r="N87" i="28"/>
  <c r="O87" i="28" s="1"/>
  <c r="O87" i="9"/>
  <c r="N87" i="3"/>
  <c r="M87" i="3"/>
  <c r="O87" i="41"/>
  <c r="O89" i="41" s="1"/>
  <c r="M89" i="41"/>
  <c r="L86" i="27"/>
  <c r="N87" i="27"/>
  <c r="O87" i="27" s="1"/>
  <c r="P121" i="3"/>
  <c r="M87" i="38"/>
  <c r="P146" i="5"/>
  <c r="P120" i="27"/>
  <c r="P129" i="29"/>
  <c r="P116" i="31"/>
  <c r="P120" i="31"/>
  <c r="P124" i="31"/>
  <c r="P128" i="31"/>
  <c r="P124" i="37"/>
  <c r="P123" i="38"/>
  <c r="P129" i="39"/>
  <c r="P105" i="40"/>
  <c r="P120" i="40"/>
  <c r="P124" i="40"/>
  <c r="P125" i="44"/>
  <c r="N87" i="38"/>
  <c r="O87" i="38" s="1"/>
  <c r="N87" i="10"/>
  <c r="O87" i="10" s="1"/>
  <c r="P118" i="3"/>
  <c r="P126" i="4"/>
  <c r="P118" i="4"/>
  <c r="P114" i="4"/>
  <c r="P130" i="5"/>
  <c r="P126" i="5"/>
  <c r="P126" i="7"/>
  <c r="P149" i="8"/>
  <c r="P109" i="8"/>
  <c r="P115" i="9"/>
  <c r="P139" i="10"/>
  <c r="P132" i="10"/>
  <c r="P109" i="11"/>
  <c r="P127" i="13"/>
  <c r="P123" i="22"/>
  <c r="P116" i="22"/>
  <c r="P130" i="23"/>
  <c r="P113" i="23"/>
  <c r="P105" i="24"/>
  <c r="P119" i="30"/>
  <c r="P105" i="31"/>
  <c r="P130" i="44"/>
  <c r="P105" i="45"/>
  <c r="P109" i="45"/>
  <c r="P120" i="45"/>
  <c r="L86" i="10"/>
  <c r="O87" i="37"/>
  <c r="P150" i="3"/>
  <c r="P146" i="3"/>
  <c r="P135" i="3"/>
  <c r="P131" i="3"/>
  <c r="P117" i="3"/>
  <c r="P113" i="3"/>
  <c r="P125" i="5"/>
  <c r="P117" i="5"/>
  <c r="P109" i="6"/>
  <c r="P150" i="7"/>
  <c r="P132" i="7"/>
  <c r="P121" i="7"/>
  <c r="P117" i="7"/>
  <c r="P110" i="7"/>
  <c r="P116" i="8"/>
  <c r="P112" i="8"/>
  <c r="P108" i="8"/>
  <c r="P122" i="11"/>
  <c r="P112" i="11"/>
  <c r="P100" i="13"/>
  <c r="P122" i="23"/>
  <c r="P119" i="24"/>
  <c r="P111" i="24"/>
  <c r="P129" i="25"/>
  <c r="P113" i="28"/>
  <c r="P121" i="28"/>
  <c r="P125" i="28"/>
  <c r="P119" i="29"/>
  <c r="P105" i="30"/>
  <c r="P109" i="30"/>
  <c r="P120" i="30"/>
  <c r="P106" i="31"/>
  <c r="P130" i="31"/>
  <c r="P110" i="37"/>
  <c r="P101" i="38"/>
  <c r="P130" i="41"/>
  <c r="P104" i="42"/>
  <c r="P116" i="44"/>
  <c r="P127" i="44"/>
  <c r="P110" i="45"/>
  <c r="P113" i="5"/>
  <c r="P129" i="22"/>
  <c r="P128" i="25"/>
  <c r="P118" i="28"/>
  <c r="P130" i="28"/>
  <c r="P109" i="29"/>
  <c r="P110" i="30"/>
  <c r="P125" i="30"/>
  <c r="P103" i="31"/>
  <c r="P102" i="38"/>
  <c r="P106" i="38"/>
  <c r="P104" i="39"/>
  <c r="P112" i="39"/>
  <c r="P124" i="39"/>
  <c r="P111" i="40"/>
  <c r="P118" i="45"/>
  <c r="N87" i="40"/>
  <c r="N89" i="40" s="1"/>
  <c r="P139" i="5"/>
  <c r="P151" i="10"/>
  <c r="P128" i="11"/>
  <c r="P109" i="13"/>
  <c r="P117" i="29"/>
  <c r="P104" i="37"/>
  <c r="P99" i="38"/>
  <c r="P123" i="43"/>
  <c r="L86" i="38"/>
  <c r="O88" i="43"/>
  <c r="O89" i="43" s="1"/>
  <c r="P129" i="10"/>
  <c r="E21" i="30"/>
  <c r="D19" i="43"/>
  <c r="E19" i="43"/>
  <c r="H18" i="43"/>
  <c r="G18" i="43"/>
  <c r="E31" i="9"/>
  <c r="H30" i="9"/>
  <c r="G30" i="9"/>
  <c r="D31" i="9"/>
  <c r="C127" i="37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127" i="7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N6" i="3"/>
  <c r="E26" i="25"/>
  <c r="C127" i="30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E18" i="45"/>
  <c r="D20" i="39"/>
  <c r="G19" i="39"/>
  <c r="H19" i="39"/>
  <c r="E20" i="39"/>
  <c r="D19" i="41"/>
  <c r="H18" i="41"/>
  <c r="G18" i="41"/>
  <c r="E19" i="41"/>
  <c r="C127" i="4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G19" i="13"/>
  <c r="D20" i="13"/>
  <c r="E20" i="13" s="1"/>
  <c r="H19" i="13"/>
  <c r="E30" i="10"/>
  <c r="I19" i="44"/>
  <c r="G27" i="5"/>
  <c r="H27" i="5"/>
  <c r="D28" i="5"/>
  <c r="E28" i="5"/>
  <c r="D24" i="27"/>
  <c r="E24" i="27"/>
  <c r="G23" i="27"/>
  <c r="H23" i="27"/>
  <c r="E25" i="23"/>
  <c r="E26" i="22"/>
  <c r="B23" i="29"/>
  <c r="F23" i="29"/>
  <c r="H27" i="4"/>
  <c r="D28" i="4"/>
  <c r="G27" i="4"/>
  <c r="E28" i="4"/>
  <c r="G30" i="7"/>
  <c r="D31" i="7"/>
  <c r="H30" i="7"/>
  <c r="E31" i="7"/>
  <c r="E19" i="38"/>
  <c r="E22" i="28"/>
  <c r="E28" i="8"/>
  <c r="G99" i="44"/>
  <c r="D100" i="44"/>
  <c r="H29" i="11"/>
  <c r="G29" i="11"/>
  <c r="D30" i="11"/>
  <c r="E30" i="11"/>
  <c r="E18" i="42"/>
  <c r="N7" i="6"/>
  <c r="E19" i="37"/>
  <c r="E28" i="3"/>
  <c r="D28" i="3"/>
  <c r="G27" i="3"/>
  <c r="E24" i="24"/>
  <c r="E100" i="42"/>
  <c r="F100" i="42" s="1"/>
  <c r="C127" i="3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I28" i="6"/>
  <c r="H22" i="29"/>
  <c r="E23" i="29"/>
  <c r="G22" i="29"/>
  <c r="B100" i="13"/>
  <c r="G18" i="40"/>
  <c r="H18" i="40"/>
  <c r="D19" i="40"/>
  <c r="E19" i="40"/>
  <c r="F53" i="1"/>
  <c r="E30" i="1"/>
  <c r="E33" i="1" s="1"/>
  <c r="E37" i="1" s="1"/>
  <c r="F54" i="1" s="1"/>
  <c r="F55" i="1" s="1"/>
  <c r="G19" i="44"/>
  <c r="I29" i="9"/>
  <c r="H99" i="13"/>
  <c r="E100" i="13"/>
  <c r="F100" i="13" s="1"/>
  <c r="D13" i="31"/>
  <c r="I14" i="31" s="1"/>
  <c r="E20" i="44"/>
  <c r="B20" i="44"/>
  <c r="F29" i="6"/>
  <c r="H29" i="6" s="1"/>
  <c r="C45" i="44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N5" i="44"/>
  <c r="N7" i="44" s="1"/>
  <c r="L86" i="39"/>
  <c r="M87" i="39"/>
  <c r="N87" i="39"/>
  <c r="O87" i="39" s="1"/>
  <c r="M89" i="45"/>
  <c r="O88" i="45"/>
  <c r="N89" i="43"/>
  <c r="L86" i="11"/>
  <c r="L86" i="25"/>
  <c r="N87" i="25"/>
  <c r="O87" i="25" s="1"/>
  <c r="F53" i="2"/>
  <c r="E30" i="2"/>
  <c r="C99" i="5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N5" i="45"/>
  <c r="N7" i="45" s="1"/>
  <c r="I17" i="45"/>
  <c r="C105" i="10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M87" i="6"/>
  <c r="N87" i="6"/>
  <c r="N88" i="42"/>
  <c r="M88" i="42"/>
  <c r="M89" i="42" s="1"/>
  <c r="E32" i="2"/>
  <c r="M87" i="44"/>
  <c r="M89" i="44" s="1"/>
  <c r="D92" i="41"/>
  <c r="D93" i="41"/>
  <c r="N87" i="44"/>
  <c r="L86" i="44"/>
  <c r="D92" i="45"/>
  <c r="O17" i="41"/>
  <c r="D94" i="23"/>
  <c r="D93" i="23"/>
  <c r="D93" i="39"/>
  <c r="M88" i="40"/>
  <c r="D99" i="24"/>
  <c r="P153" i="4"/>
  <c r="P141" i="4"/>
  <c r="O60" i="4"/>
  <c r="O58" i="6"/>
  <c r="P146" i="7"/>
  <c r="O36" i="7"/>
  <c r="P140" i="8"/>
  <c r="M87" i="40"/>
  <c r="O87" i="40" s="1"/>
  <c r="P122" i="4"/>
  <c r="P142" i="5"/>
  <c r="O39" i="5"/>
  <c r="O61" i="7"/>
  <c r="P122" i="8"/>
  <c r="C100" i="9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P136" i="3"/>
  <c r="P125" i="3"/>
  <c r="O30" i="3"/>
  <c r="P113" i="4"/>
  <c r="O68" i="6"/>
  <c r="P128" i="8"/>
  <c r="P132" i="4"/>
  <c r="P116" i="4"/>
  <c r="P100" i="4"/>
  <c r="O20" i="5"/>
  <c r="P118" i="7"/>
  <c r="P134" i="8"/>
  <c r="O72" i="3"/>
  <c r="O36" i="3"/>
  <c r="P150" i="4"/>
  <c r="P137" i="8"/>
  <c r="O70" i="25"/>
  <c r="P100" i="23"/>
  <c r="O66" i="28"/>
  <c r="O63" i="28"/>
  <c r="O23" i="6"/>
  <c r="P106" i="7"/>
  <c r="O17" i="28"/>
  <c r="P105" i="6"/>
  <c r="O23" i="11"/>
  <c r="O25" i="28"/>
  <c r="O60" i="28"/>
  <c r="O21" i="25"/>
  <c r="O24" i="7"/>
  <c r="O24" i="29"/>
  <c r="O22" i="5"/>
  <c r="P104" i="6"/>
  <c r="O17" i="29"/>
  <c r="P103" i="23"/>
  <c r="P100" i="28"/>
  <c r="O31" i="41"/>
  <c r="P110" i="43"/>
  <c r="O49" i="38"/>
  <c r="O63" i="39"/>
  <c r="P126" i="40"/>
  <c r="P109" i="10"/>
  <c r="O56" i="43"/>
  <c r="P105" i="5"/>
  <c r="O22" i="23"/>
  <c r="J92" i="29"/>
  <c r="J47" i="17"/>
  <c r="J92" i="13"/>
  <c r="F41" i="17"/>
  <c r="C28" i="17"/>
  <c r="C27" i="17"/>
  <c r="C29" i="17"/>
  <c r="D37" i="17"/>
  <c r="E44" i="17"/>
  <c r="D30" i="17"/>
  <c r="C30" i="17"/>
  <c r="C23" i="17"/>
  <c r="D35" i="17"/>
  <c r="C21" i="17"/>
  <c r="C37" i="17"/>
  <c r="C38" i="17"/>
  <c r="I41" i="17"/>
  <c r="E24" i="17"/>
  <c r="D22" i="17"/>
  <c r="F44" i="17"/>
  <c r="F21" i="17"/>
  <c r="I40" i="17"/>
  <c r="D29" i="17"/>
  <c r="C33" i="17"/>
  <c r="D34" i="17"/>
  <c r="D20" i="17"/>
  <c r="C26" i="17"/>
  <c r="D39" i="17"/>
  <c r="E21" i="17"/>
  <c r="C43" i="17"/>
  <c r="D21" i="17"/>
  <c r="C18" i="17"/>
  <c r="D43" i="17"/>
  <c r="D24" i="17"/>
  <c r="D23" i="17"/>
  <c r="C22" i="17"/>
  <c r="C19" i="17"/>
  <c r="E43" i="17"/>
  <c r="D40" i="17"/>
  <c r="D33" i="17"/>
  <c r="C34" i="17"/>
  <c r="C36" i="17"/>
  <c r="C39" i="17"/>
  <c r="D31" i="17"/>
  <c r="D44" i="17"/>
  <c r="D18" i="17"/>
  <c r="D36" i="17"/>
  <c r="D25" i="17"/>
  <c r="D28" i="17"/>
  <c r="I42" i="17"/>
  <c r="C20" i="17"/>
  <c r="C31" i="17"/>
  <c r="D42" i="17"/>
  <c r="D32" i="17"/>
  <c r="C32" i="17"/>
  <c r="C41" i="17"/>
  <c r="D41" i="17"/>
  <c r="C25" i="17"/>
  <c r="C44" i="17"/>
  <c r="C35" i="17"/>
  <c r="F24" i="17"/>
  <c r="D27" i="17"/>
  <c r="E41" i="17"/>
  <c r="C42" i="17"/>
  <c r="F43" i="17"/>
  <c r="D26" i="17"/>
  <c r="I44" i="17"/>
  <c r="C24" i="17"/>
  <c r="I43" i="17"/>
  <c r="D38" i="17"/>
  <c r="C40" i="17"/>
  <c r="D19" i="17"/>
  <c r="L42" i="17" l="1"/>
  <c r="K38" i="17"/>
  <c r="L38" i="17" s="1"/>
  <c r="K40" i="17"/>
  <c r="L40" i="17" s="1"/>
  <c r="V40" i="17" s="1"/>
  <c r="K36" i="17"/>
  <c r="L36" i="17" s="1"/>
  <c r="L43" i="17"/>
  <c r="K39" i="17"/>
  <c r="L39" i="17" s="1"/>
  <c r="K41" i="17"/>
  <c r="L41" i="17" s="1"/>
  <c r="V41" i="17" s="1"/>
  <c r="K37" i="17"/>
  <c r="L37" i="17" s="1"/>
  <c r="K27" i="17"/>
  <c r="L27" i="17" s="1"/>
  <c r="K32" i="17"/>
  <c r="L32" i="17" s="1"/>
  <c r="K33" i="17"/>
  <c r="L33" i="17" s="1"/>
  <c r="K26" i="17"/>
  <c r="L26" i="17" s="1"/>
  <c r="K21" i="17"/>
  <c r="L21" i="17" s="1"/>
  <c r="K20" i="17"/>
  <c r="L20" i="17" s="1"/>
  <c r="K30" i="17"/>
  <c r="L30" i="17" s="1"/>
  <c r="K25" i="17"/>
  <c r="L25" i="17" s="1"/>
  <c r="K18" i="17"/>
  <c r="K34" i="17"/>
  <c r="L34" i="17" s="1"/>
  <c r="K23" i="17"/>
  <c r="L23" i="17" s="1"/>
  <c r="K28" i="17"/>
  <c r="L28" i="17" s="1"/>
  <c r="K29" i="17"/>
  <c r="L29" i="17" s="1"/>
  <c r="K22" i="17"/>
  <c r="L22" i="17" s="1"/>
  <c r="K24" i="17"/>
  <c r="L24" i="17" s="1"/>
  <c r="K19" i="17"/>
  <c r="L19" i="17" s="1"/>
  <c r="K35" i="17"/>
  <c r="L35" i="17" s="1"/>
  <c r="K31" i="17"/>
  <c r="L31" i="17" s="1"/>
  <c r="D95" i="44"/>
  <c r="D95" i="9"/>
  <c r="J96" i="9" s="1"/>
  <c r="D95" i="30"/>
  <c r="J96" i="30" s="1"/>
  <c r="D95" i="8"/>
  <c r="J96" i="8" s="1"/>
  <c r="D95" i="37"/>
  <c r="J96" i="37" s="1"/>
  <c r="D95" i="28"/>
  <c r="J96" i="28" s="1"/>
  <c r="D95" i="22"/>
  <c r="J96" i="22" s="1"/>
  <c r="D95" i="3"/>
  <c r="J96" i="3" s="1"/>
  <c r="D95" i="10"/>
  <c r="J96" i="10" s="1"/>
  <c r="D95" i="5"/>
  <c r="J96" i="5" s="1"/>
  <c r="D95" i="40"/>
  <c r="J96" i="40" s="1"/>
  <c r="D95" i="4"/>
  <c r="J96" i="4" s="1"/>
  <c r="D95" i="31"/>
  <c r="J96" i="31" s="1"/>
  <c r="E102" i="31" s="1"/>
  <c r="F102" i="31" s="1"/>
  <c r="D95" i="7"/>
  <c r="J96" i="7" s="1"/>
  <c r="D95" i="24"/>
  <c r="J96" i="24" s="1"/>
  <c r="D95" i="27"/>
  <c r="J96" i="27" s="1"/>
  <c r="D95" i="39"/>
  <c r="J96" i="39" s="1"/>
  <c r="E99" i="39" s="1"/>
  <c r="D95" i="25"/>
  <c r="J96" i="25" s="1"/>
  <c r="D95" i="11"/>
  <c r="J96" i="11" s="1"/>
  <c r="D95" i="23"/>
  <c r="J96" i="23" s="1"/>
  <c r="D95" i="38"/>
  <c r="J96" i="38" s="1"/>
  <c r="E99" i="38" s="1"/>
  <c r="F99" i="38" s="1"/>
  <c r="D95" i="42"/>
  <c r="D95" i="6"/>
  <c r="J96" i="6" s="1"/>
  <c r="D95" i="41"/>
  <c r="D95" i="43"/>
  <c r="J96" i="43" s="1"/>
  <c r="D95" i="29"/>
  <c r="J96" i="29" s="1"/>
  <c r="E102" i="29" s="1"/>
  <c r="F102" i="29" s="1"/>
  <c r="E103" i="29" s="1"/>
  <c r="D95" i="45"/>
  <c r="D95" i="13"/>
  <c r="O87" i="45"/>
  <c r="O89" i="45" s="1"/>
  <c r="L44" i="17"/>
  <c r="V44" i="17" s="1"/>
  <c r="V45" i="17"/>
  <c r="O87" i="3"/>
  <c r="D103" i="29"/>
  <c r="G102" i="29"/>
  <c r="F76" i="1"/>
  <c r="F77" i="1" s="1"/>
  <c r="F62" i="1"/>
  <c r="F65" i="1" s="1"/>
  <c r="F67" i="1" s="1"/>
  <c r="F69" i="1" s="1"/>
  <c r="C127" i="9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C127" i="5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E99" i="43"/>
  <c r="N5" i="29"/>
  <c r="C99" i="23"/>
  <c r="C100" i="23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00" i="41"/>
  <c r="C101" i="41" s="1"/>
  <c r="C102" i="41" s="1"/>
  <c r="C103" i="41" s="1"/>
  <c r="C104" i="41" s="1"/>
  <c r="C105" i="41" s="1"/>
  <c r="C106" i="41" s="1"/>
  <c r="C107" i="41" s="1"/>
  <c r="C108" i="41" s="1"/>
  <c r="C109" i="41" s="1"/>
  <c r="C110" i="41" s="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 s="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 s="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C99" i="41"/>
  <c r="N89" i="42"/>
  <c r="O88" i="42"/>
  <c r="O89" i="42" s="1"/>
  <c r="E22" i="31"/>
  <c r="D101" i="13"/>
  <c r="E101" i="13" s="1"/>
  <c r="G100" i="13"/>
  <c r="N5" i="3"/>
  <c r="F19" i="37"/>
  <c r="B100" i="44"/>
  <c r="F31" i="7"/>
  <c r="H31" i="7" s="1"/>
  <c r="G31" i="7"/>
  <c r="B31" i="7"/>
  <c r="D24" i="29"/>
  <c r="E24" i="29"/>
  <c r="N6" i="27"/>
  <c r="I23" i="27"/>
  <c r="I19" i="39"/>
  <c r="N6" i="39"/>
  <c r="N7" i="39" s="1"/>
  <c r="I30" i="9"/>
  <c r="G100" i="42"/>
  <c r="D101" i="42"/>
  <c r="E101" i="42" s="1"/>
  <c r="J96" i="41"/>
  <c r="E99" i="41"/>
  <c r="F28" i="3"/>
  <c r="H28" i="3"/>
  <c r="B28" i="3"/>
  <c r="B30" i="11"/>
  <c r="F30" i="11"/>
  <c r="H30" i="11" s="1"/>
  <c r="I99" i="44"/>
  <c r="H99" i="44"/>
  <c r="F22" i="28"/>
  <c r="N5" i="7"/>
  <c r="N5" i="27"/>
  <c r="N5" i="39"/>
  <c r="G102" i="31"/>
  <c r="D103" i="31"/>
  <c r="E103" i="31"/>
  <c r="J96" i="45"/>
  <c r="E99" i="45"/>
  <c r="B19" i="40"/>
  <c r="F19" i="40"/>
  <c r="G19" i="40" s="1"/>
  <c r="I29" i="11"/>
  <c r="N6" i="11"/>
  <c r="F19" i="38"/>
  <c r="N5" i="4"/>
  <c r="B24" i="27"/>
  <c r="F24" i="27"/>
  <c r="G24" i="27"/>
  <c r="H24" i="27"/>
  <c r="I19" i="13"/>
  <c r="N6" i="13"/>
  <c r="I18" i="43"/>
  <c r="N6" i="43"/>
  <c r="E30" i="6"/>
  <c r="D30" i="6"/>
  <c r="N5" i="11"/>
  <c r="L86" i="13"/>
  <c r="N87" i="13"/>
  <c r="M87" i="13"/>
  <c r="M89" i="40"/>
  <c r="O88" i="40"/>
  <c r="O89" i="40" s="1"/>
  <c r="C127" i="10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G29" i="6"/>
  <c r="N6" i="40"/>
  <c r="N7" i="40" s="1"/>
  <c r="I18" i="40"/>
  <c r="N6" i="29"/>
  <c r="I22" i="29"/>
  <c r="J99" i="13"/>
  <c r="F28" i="8"/>
  <c r="B28" i="4"/>
  <c r="F28" i="4"/>
  <c r="H28" i="4" s="1"/>
  <c r="N5" i="41"/>
  <c r="I27" i="3"/>
  <c r="F20" i="39"/>
  <c r="G20" i="39" s="1"/>
  <c r="B20" i="39"/>
  <c r="H20" i="39"/>
  <c r="E33" i="2"/>
  <c r="E37" i="2" s="1"/>
  <c r="F54" i="2" s="1"/>
  <c r="N5" i="40"/>
  <c r="F24" i="24"/>
  <c r="N6" i="4"/>
  <c r="I27" i="4"/>
  <c r="F26" i="22"/>
  <c r="B28" i="5"/>
  <c r="F28" i="5"/>
  <c r="G28" i="5"/>
  <c r="F30" i="10"/>
  <c r="G20" i="13"/>
  <c r="F20" i="13"/>
  <c r="H20" i="13"/>
  <c r="I20" i="13" s="1"/>
  <c r="B20" i="13"/>
  <c r="N6" i="41"/>
  <c r="N7" i="41" s="1"/>
  <c r="I18" i="41"/>
  <c r="F26" i="25"/>
  <c r="N7" i="3"/>
  <c r="F19" i="43"/>
  <c r="B19" i="43"/>
  <c r="F21" i="30"/>
  <c r="N5" i="43"/>
  <c r="L86" i="29"/>
  <c r="M87" i="29"/>
  <c r="N17" i="2" s="1"/>
  <c r="R132" i="2" s="1"/>
  <c r="N87" i="29"/>
  <c r="F55" i="2"/>
  <c r="F20" i="44"/>
  <c r="F18" i="42"/>
  <c r="G23" i="29"/>
  <c r="F25" i="23"/>
  <c r="I27" i="5"/>
  <c r="N6" i="5"/>
  <c r="N5" i="13"/>
  <c r="G19" i="41"/>
  <c r="H19" i="41"/>
  <c r="F19" i="41"/>
  <c r="B19" i="41"/>
  <c r="F18" i="45"/>
  <c r="F31" i="9"/>
  <c r="B31" i="9"/>
  <c r="C100" i="39"/>
  <c r="C101" i="39"/>
  <c r="C99" i="39"/>
  <c r="F99" i="39" s="1"/>
  <c r="C102" i="39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O87" i="44"/>
  <c r="O89" i="44" s="1"/>
  <c r="N89" i="44"/>
  <c r="O87" i="6"/>
  <c r="E100" i="44"/>
  <c r="I30" i="7"/>
  <c r="N6" i="7"/>
  <c r="N7" i="7" s="1"/>
  <c r="H23" i="29"/>
  <c r="I23" i="29" s="1"/>
  <c r="N5" i="5"/>
  <c r="G21" i="17"/>
  <c r="G44" i="17"/>
  <c r="G41" i="17"/>
  <c r="V42" i="17"/>
  <c r="V43" i="17"/>
  <c r="G43" i="17"/>
  <c r="G24" i="17"/>
  <c r="E33" i="17"/>
  <c r="E38" i="17"/>
  <c r="E42" i="17"/>
  <c r="I39" i="17"/>
  <c r="E26" i="17"/>
  <c r="E39" i="17"/>
  <c r="E20" i="17"/>
  <c r="E22" i="17"/>
  <c r="E40" i="17"/>
  <c r="F18" i="17"/>
  <c r="F39" i="17"/>
  <c r="F38" i="17"/>
  <c r="E19" i="17"/>
  <c r="F40" i="17"/>
  <c r="E31" i="17"/>
  <c r="E18" i="17"/>
  <c r="F22" i="17"/>
  <c r="E108" i="6" l="1"/>
  <c r="F108" i="6" s="1"/>
  <c r="E109" i="6" s="1"/>
  <c r="E109" i="11"/>
  <c r="F109" i="11" s="1"/>
  <c r="E110" i="11" s="1"/>
  <c r="E104" i="24"/>
  <c r="F104" i="24" s="1"/>
  <c r="E105" i="24"/>
  <c r="E99" i="40"/>
  <c r="F99" i="40" s="1"/>
  <c r="E100" i="40" s="1"/>
  <c r="E106" i="22"/>
  <c r="F106" i="22" s="1"/>
  <c r="E101" i="30"/>
  <c r="F101" i="30" s="1"/>
  <c r="E102" i="30" s="1"/>
  <c r="E106" i="25"/>
  <c r="F106" i="25" s="1"/>
  <c r="E110" i="7"/>
  <c r="F110" i="7" s="1"/>
  <c r="E111" i="7" s="1"/>
  <c r="E107" i="5"/>
  <c r="F107" i="5" s="1"/>
  <c r="E108" i="5"/>
  <c r="E102" i="28"/>
  <c r="F102" i="28" s="1"/>
  <c r="E103" i="28" s="1"/>
  <c r="E109" i="9"/>
  <c r="F109" i="9" s="1"/>
  <c r="E100" i="38"/>
  <c r="G99" i="38"/>
  <c r="D100" i="38"/>
  <c r="E110" i="10"/>
  <c r="F110" i="10" s="1"/>
  <c r="E100" i="37"/>
  <c r="E99" i="37"/>
  <c r="F99" i="37" s="1"/>
  <c r="E105" i="23"/>
  <c r="F105" i="23" s="1"/>
  <c r="E106" i="23" s="1"/>
  <c r="E103" i="27"/>
  <c r="F103" i="27" s="1"/>
  <c r="E107" i="4"/>
  <c r="F107" i="4" s="1"/>
  <c r="E108" i="4"/>
  <c r="E107" i="3"/>
  <c r="F107" i="3" s="1"/>
  <c r="E108" i="3" s="1"/>
  <c r="E108" i="8"/>
  <c r="F108" i="8" s="1"/>
  <c r="H102" i="29"/>
  <c r="M88" i="29" s="1"/>
  <c r="M89" i="29" s="1"/>
  <c r="I102" i="29"/>
  <c r="B103" i="29"/>
  <c r="F103" i="29"/>
  <c r="O87" i="13"/>
  <c r="G40" i="17"/>
  <c r="G38" i="17"/>
  <c r="G39" i="17"/>
  <c r="G18" i="17"/>
  <c r="G22" i="17"/>
  <c r="V39" i="17"/>
  <c r="I31" i="7"/>
  <c r="C127" i="23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C127" i="39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D100" i="39"/>
  <c r="E100" i="39"/>
  <c r="G99" i="39"/>
  <c r="I28" i="4"/>
  <c r="D32" i="9"/>
  <c r="E32" i="9"/>
  <c r="E21" i="44"/>
  <c r="D21" i="44"/>
  <c r="H20" i="44"/>
  <c r="G20" i="44"/>
  <c r="D29" i="5"/>
  <c r="E29" i="5"/>
  <c r="H24" i="24"/>
  <c r="D25" i="24"/>
  <c r="G24" i="24"/>
  <c r="E25" i="24"/>
  <c r="B30" i="6"/>
  <c r="F30" i="6"/>
  <c r="G30" i="6"/>
  <c r="H30" i="6"/>
  <c r="J99" i="44"/>
  <c r="D29" i="3"/>
  <c r="E29" i="3"/>
  <c r="B24" i="29"/>
  <c r="F24" i="29"/>
  <c r="G24" i="29" s="1"/>
  <c r="B101" i="13"/>
  <c r="F101" i="13"/>
  <c r="G18" i="45"/>
  <c r="D19" i="45"/>
  <c r="H18" i="45"/>
  <c r="E19" i="45"/>
  <c r="N7" i="5"/>
  <c r="D21" i="13"/>
  <c r="N7" i="13"/>
  <c r="H19" i="40"/>
  <c r="F70" i="1"/>
  <c r="F71" i="1" s="1"/>
  <c r="F56" i="1" s="1"/>
  <c r="F57" i="1" s="1"/>
  <c r="F59" i="1" s="1"/>
  <c r="F79" i="1" s="1"/>
  <c r="F80" i="1" s="1"/>
  <c r="F82" i="1" s="1"/>
  <c r="F62" i="2"/>
  <c r="F65" i="2" s="1"/>
  <c r="F67" i="2" s="1"/>
  <c r="F69" i="2" s="1"/>
  <c r="H28" i="8"/>
  <c r="G28" i="8"/>
  <c r="D29" i="8"/>
  <c r="E29" i="8"/>
  <c r="F99" i="43"/>
  <c r="G21" i="30"/>
  <c r="D22" i="30"/>
  <c r="H21" i="30"/>
  <c r="E22" i="30"/>
  <c r="H26" i="22"/>
  <c r="D27" i="22"/>
  <c r="G26" i="22"/>
  <c r="E27" i="22"/>
  <c r="D29" i="4"/>
  <c r="E29" i="4"/>
  <c r="N7" i="29"/>
  <c r="H19" i="38"/>
  <c r="G19" i="38"/>
  <c r="D20" i="38"/>
  <c r="E20" i="38"/>
  <c r="F22" i="31"/>
  <c r="D20" i="43"/>
  <c r="E20" i="43"/>
  <c r="D21" i="39"/>
  <c r="E21" i="39"/>
  <c r="E31" i="11"/>
  <c r="D31" i="11"/>
  <c r="O17" i="2"/>
  <c r="D20" i="41"/>
  <c r="E20" i="41"/>
  <c r="H18" i="42"/>
  <c r="D19" i="42"/>
  <c r="G18" i="42"/>
  <c r="E19" i="42"/>
  <c r="G19" i="43"/>
  <c r="H26" i="25"/>
  <c r="G26" i="25"/>
  <c r="D27" i="25"/>
  <c r="E27" i="25"/>
  <c r="G28" i="4"/>
  <c r="I24" i="27"/>
  <c r="B103" i="31"/>
  <c r="F103" i="31"/>
  <c r="G30" i="11"/>
  <c r="I30" i="11" s="1"/>
  <c r="D32" i="7"/>
  <c r="E32" i="7"/>
  <c r="F99" i="41"/>
  <c r="E100" i="41" s="1"/>
  <c r="F99" i="45"/>
  <c r="G19" i="37"/>
  <c r="D20" i="37"/>
  <c r="H19" i="37"/>
  <c r="E20" i="37"/>
  <c r="G31" i="9"/>
  <c r="I19" i="41"/>
  <c r="D26" i="23"/>
  <c r="G25" i="23"/>
  <c r="H25" i="23"/>
  <c r="E26" i="23"/>
  <c r="O87" i="29"/>
  <c r="G30" i="10"/>
  <c r="D31" i="10"/>
  <c r="H30" i="10"/>
  <c r="E31" i="10"/>
  <c r="N7" i="43"/>
  <c r="N7" i="11"/>
  <c r="H102" i="31"/>
  <c r="I102" i="31"/>
  <c r="F100" i="44"/>
  <c r="I29" i="6"/>
  <c r="I20" i="39"/>
  <c r="I100" i="42"/>
  <c r="H100" i="42"/>
  <c r="D20" i="40"/>
  <c r="E20" i="40"/>
  <c r="H31" i="9"/>
  <c r="H19" i="43"/>
  <c r="H28" i="5"/>
  <c r="N7" i="4"/>
  <c r="D25" i="27"/>
  <c r="E25" i="27"/>
  <c r="H22" i="28"/>
  <c r="G22" i="28"/>
  <c r="D23" i="28"/>
  <c r="E23" i="28"/>
  <c r="G28" i="3"/>
  <c r="I28" i="3" s="1"/>
  <c r="B101" i="42"/>
  <c r="F101" i="42"/>
  <c r="N7" i="27"/>
  <c r="H100" i="13"/>
  <c r="I100" i="13"/>
  <c r="F19" i="17"/>
  <c r="F20" i="17"/>
  <c r="F42" i="17"/>
  <c r="F33" i="17"/>
  <c r="I33" i="17"/>
  <c r="F31" i="17"/>
  <c r="F26" i="17"/>
  <c r="G108" i="8" l="1"/>
  <c r="D109" i="8"/>
  <c r="G103" i="27"/>
  <c r="D104" i="27"/>
  <c r="B104" i="27" s="1"/>
  <c r="F100" i="38"/>
  <c r="B100" i="38"/>
  <c r="E110" i="9"/>
  <c r="G109" i="9"/>
  <c r="D110" i="9"/>
  <c r="G106" i="25"/>
  <c r="D107" i="25"/>
  <c r="G106" i="22"/>
  <c r="D107" i="22"/>
  <c r="D108" i="4"/>
  <c r="G107" i="4"/>
  <c r="H99" i="38"/>
  <c r="M88" i="38" s="1"/>
  <c r="M89" i="38" s="1"/>
  <c r="I99" i="38"/>
  <c r="N88" i="38" s="1"/>
  <c r="D108" i="5"/>
  <c r="G107" i="5"/>
  <c r="E107" i="25"/>
  <c r="E107" i="22"/>
  <c r="D105" i="24"/>
  <c r="G104" i="24"/>
  <c r="G105" i="23"/>
  <c r="D106" i="23"/>
  <c r="G110" i="10"/>
  <c r="D111" i="10"/>
  <c r="D109" i="6"/>
  <c r="G108" i="6"/>
  <c r="E109" i="8"/>
  <c r="D108" i="3"/>
  <c r="G107" i="3"/>
  <c r="E104" i="27"/>
  <c r="G99" i="37"/>
  <c r="D100" i="37"/>
  <c r="E111" i="10"/>
  <c r="G102" i="28"/>
  <c r="D103" i="28"/>
  <c r="D111" i="7"/>
  <c r="G110" i="7"/>
  <c r="D102" i="30"/>
  <c r="G101" i="30"/>
  <c r="D100" i="40"/>
  <c r="G99" i="40"/>
  <c r="D110" i="11"/>
  <c r="G109" i="11"/>
  <c r="J102" i="29"/>
  <c r="N88" i="29"/>
  <c r="G103" i="29"/>
  <c r="D104" i="29"/>
  <c r="E104" i="29"/>
  <c r="V33" i="17"/>
  <c r="G20" i="17"/>
  <c r="G19" i="17"/>
  <c r="G31" i="17"/>
  <c r="G42" i="17"/>
  <c r="G26" i="17"/>
  <c r="G33" i="17"/>
  <c r="F22" i="30"/>
  <c r="G22" i="30"/>
  <c r="H22" i="30"/>
  <c r="I22" i="30" s="1"/>
  <c r="B22" i="30"/>
  <c r="I31" i="9"/>
  <c r="N6" i="10"/>
  <c r="N7" i="10" s="1"/>
  <c r="I30" i="10"/>
  <c r="H29" i="4"/>
  <c r="B29" i="4"/>
  <c r="F29" i="4"/>
  <c r="G29" i="4" s="1"/>
  <c r="N5" i="30"/>
  <c r="F25" i="24"/>
  <c r="G25" i="24" s="1"/>
  <c r="H25" i="24"/>
  <c r="B25" i="24"/>
  <c r="I20" i="44"/>
  <c r="I99" i="39"/>
  <c r="H99" i="39"/>
  <c r="J100" i="13"/>
  <c r="G100" i="44"/>
  <c r="D101" i="44"/>
  <c r="E101" i="44" s="1"/>
  <c r="G31" i="10"/>
  <c r="F31" i="10"/>
  <c r="H31" i="10"/>
  <c r="B31" i="10"/>
  <c r="N5" i="23"/>
  <c r="F20" i="37"/>
  <c r="G20" i="37"/>
  <c r="B20" i="37"/>
  <c r="B21" i="39"/>
  <c r="F21" i="39"/>
  <c r="G21" i="39"/>
  <c r="H21" i="39"/>
  <c r="F29" i="8"/>
  <c r="B29" i="8"/>
  <c r="H29" i="8"/>
  <c r="G29" i="8"/>
  <c r="I19" i="40"/>
  <c r="H24" i="29"/>
  <c r="H29" i="3"/>
  <c r="G29" i="3"/>
  <c r="B29" i="3"/>
  <c r="F29" i="3"/>
  <c r="N6" i="24"/>
  <c r="I24" i="24"/>
  <c r="F21" i="44"/>
  <c r="B21" i="44"/>
  <c r="G99" i="43"/>
  <c r="D100" i="43"/>
  <c r="E100" i="43"/>
  <c r="N5" i="8"/>
  <c r="F100" i="39"/>
  <c r="B100" i="39"/>
  <c r="H20" i="43"/>
  <c r="I20" i="43" s="1"/>
  <c r="B20" i="43"/>
  <c r="F20" i="43"/>
  <c r="G20" i="43"/>
  <c r="B21" i="13"/>
  <c r="D25" i="29"/>
  <c r="E25" i="29"/>
  <c r="F26" i="23"/>
  <c r="G26" i="23" s="1"/>
  <c r="B26" i="23"/>
  <c r="I28" i="5"/>
  <c r="J102" i="31"/>
  <c r="N88" i="31"/>
  <c r="B19" i="42"/>
  <c r="F19" i="42"/>
  <c r="H19" i="42" s="1"/>
  <c r="G19" i="42"/>
  <c r="B31" i="11"/>
  <c r="F31" i="11"/>
  <c r="G31" i="11" s="1"/>
  <c r="G27" i="22"/>
  <c r="F27" i="22"/>
  <c r="H27" i="22"/>
  <c r="I27" i="22" s="1"/>
  <c r="B27" i="22"/>
  <c r="N6" i="8"/>
  <c r="I28" i="8"/>
  <c r="I30" i="6"/>
  <c r="F29" i="5"/>
  <c r="G29" i="5"/>
  <c r="H29" i="5"/>
  <c r="I29" i="5" s="1"/>
  <c r="B29" i="5"/>
  <c r="N5" i="24"/>
  <c r="I19" i="37"/>
  <c r="N6" i="37"/>
  <c r="N7" i="37" s="1"/>
  <c r="H20" i="40"/>
  <c r="B20" i="40"/>
  <c r="F20" i="40"/>
  <c r="N5" i="37"/>
  <c r="H23" i="28"/>
  <c r="I23" i="28" s="1"/>
  <c r="B23" i="28"/>
  <c r="G23" i="28"/>
  <c r="F23" i="28"/>
  <c r="I18" i="42"/>
  <c r="B20" i="38"/>
  <c r="F20" i="38"/>
  <c r="G20" i="38"/>
  <c r="P17" i="2"/>
  <c r="R133" i="2"/>
  <c r="N6" i="23"/>
  <c r="N7" i="23" s="1"/>
  <c r="I25" i="23"/>
  <c r="N5" i="10"/>
  <c r="B32" i="7"/>
  <c r="F32" i="7"/>
  <c r="H32" i="7"/>
  <c r="G32" i="7"/>
  <c r="H22" i="31"/>
  <c r="G22" i="31"/>
  <c r="D23" i="31"/>
  <c r="E23" i="31"/>
  <c r="N5" i="22"/>
  <c r="F25" i="27"/>
  <c r="B25" i="27"/>
  <c r="M88" i="31"/>
  <c r="M89" i="31" s="1"/>
  <c r="B27" i="25"/>
  <c r="F27" i="25"/>
  <c r="G27" i="25"/>
  <c r="N6" i="22"/>
  <c r="I26" i="22"/>
  <c r="I18" i="45"/>
  <c r="G101" i="42"/>
  <c r="D102" i="42"/>
  <c r="N5" i="28"/>
  <c r="I19" i="43"/>
  <c r="J100" i="42"/>
  <c r="D104" i="31"/>
  <c r="G103" i="31"/>
  <c r="E104" i="31"/>
  <c r="N5" i="25"/>
  <c r="N5" i="38"/>
  <c r="F70" i="2"/>
  <c r="F71" i="2" s="1"/>
  <c r="F56" i="2" s="1"/>
  <c r="F57" i="2" s="1"/>
  <c r="B19" i="45"/>
  <c r="G19" i="45"/>
  <c r="F19" i="45"/>
  <c r="H19" i="45"/>
  <c r="G101" i="13"/>
  <c r="D102" i="13"/>
  <c r="E102" i="13" s="1"/>
  <c r="D31" i="6"/>
  <c r="E31" i="6"/>
  <c r="B32" i="9"/>
  <c r="F32" i="9"/>
  <c r="G32" i="9"/>
  <c r="H32" i="9"/>
  <c r="I32" i="9" s="1"/>
  <c r="N6" i="28"/>
  <c r="N7" i="28" s="1"/>
  <c r="I22" i="28"/>
  <c r="G99" i="45"/>
  <c r="D100" i="45"/>
  <c r="G99" i="41"/>
  <c r="D100" i="41"/>
  <c r="I26" i="25"/>
  <c r="N6" i="25"/>
  <c r="N7" i="25" s="1"/>
  <c r="F20" i="41"/>
  <c r="H20" i="41" s="1"/>
  <c r="B20" i="41"/>
  <c r="N6" i="38"/>
  <c r="N7" i="38" s="1"/>
  <c r="I19" i="38"/>
  <c r="I21" i="30"/>
  <c r="N6" i="30"/>
  <c r="N7" i="30" s="1"/>
  <c r="E21" i="13"/>
  <c r="F21" i="13" s="1"/>
  <c r="I37" i="17"/>
  <c r="F25" i="17"/>
  <c r="E37" i="17"/>
  <c r="I35" i="17"/>
  <c r="E25" i="17"/>
  <c r="F37" i="17"/>
  <c r="F28" i="17"/>
  <c r="E34" i="17"/>
  <c r="F34" i="17"/>
  <c r="F32" i="17"/>
  <c r="F30" i="17"/>
  <c r="E29" i="17"/>
  <c r="E27" i="17"/>
  <c r="E28" i="17"/>
  <c r="E36" i="17"/>
  <c r="F36" i="17"/>
  <c r="E23" i="17"/>
  <c r="E32" i="17"/>
  <c r="E30" i="17"/>
  <c r="V37" i="17" l="1"/>
  <c r="N89" i="38"/>
  <c r="O88" i="38"/>
  <c r="O89" i="38" s="1"/>
  <c r="I99" i="40"/>
  <c r="H99" i="40"/>
  <c r="J99" i="40" s="1"/>
  <c r="H110" i="7"/>
  <c r="M88" i="7" s="1"/>
  <c r="M89" i="7" s="1"/>
  <c r="I110" i="7"/>
  <c r="H107" i="3"/>
  <c r="M88" i="3" s="1"/>
  <c r="M89" i="3" s="1"/>
  <c r="I107" i="3"/>
  <c r="B109" i="6"/>
  <c r="F109" i="6"/>
  <c r="H105" i="23"/>
  <c r="M88" i="23" s="1"/>
  <c r="M89" i="23" s="1"/>
  <c r="I105" i="23"/>
  <c r="H106" i="22"/>
  <c r="M88" i="22" s="1"/>
  <c r="M89" i="22" s="1"/>
  <c r="I106" i="22"/>
  <c r="H109" i="9"/>
  <c r="M88" i="9" s="1"/>
  <c r="M89" i="9" s="1"/>
  <c r="I109" i="9"/>
  <c r="B100" i="40"/>
  <c r="F100" i="40"/>
  <c r="B111" i="7"/>
  <c r="F111" i="7"/>
  <c r="B100" i="37"/>
  <c r="F100" i="37"/>
  <c r="B108" i="3"/>
  <c r="F108" i="3"/>
  <c r="B111" i="10"/>
  <c r="F111" i="10"/>
  <c r="H104" i="24"/>
  <c r="M88" i="24" s="1"/>
  <c r="M89" i="24" s="1"/>
  <c r="I104" i="24"/>
  <c r="H107" i="5"/>
  <c r="M88" i="5" s="1"/>
  <c r="M89" i="5" s="1"/>
  <c r="I107" i="5"/>
  <c r="H107" i="4"/>
  <c r="M88" i="4" s="1"/>
  <c r="M89" i="4" s="1"/>
  <c r="I107" i="4"/>
  <c r="F107" i="25"/>
  <c r="B107" i="25"/>
  <c r="I103" i="27"/>
  <c r="H103" i="27"/>
  <c r="M88" i="27" s="1"/>
  <c r="M89" i="27" s="1"/>
  <c r="H109" i="11"/>
  <c r="M88" i="11" s="1"/>
  <c r="M89" i="11" s="1"/>
  <c r="I109" i="11"/>
  <c r="I101" i="30"/>
  <c r="H101" i="30"/>
  <c r="M88" i="30" s="1"/>
  <c r="M89" i="30" s="1"/>
  <c r="F103" i="28"/>
  <c r="B103" i="28"/>
  <c r="I99" i="37"/>
  <c r="H99" i="37"/>
  <c r="M88" i="37" s="1"/>
  <c r="M89" i="37" s="1"/>
  <c r="H110" i="10"/>
  <c r="M88" i="10" s="1"/>
  <c r="M89" i="10" s="1"/>
  <c r="I110" i="10"/>
  <c r="F105" i="24"/>
  <c r="B105" i="24"/>
  <c r="F108" i="5"/>
  <c r="B108" i="5"/>
  <c r="F108" i="4"/>
  <c r="B108" i="4"/>
  <c r="H106" i="25"/>
  <c r="M88" i="25" s="1"/>
  <c r="M89" i="25" s="1"/>
  <c r="I106" i="25"/>
  <c r="F109" i="8"/>
  <c r="B109" i="8"/>
  <c r="B110" i="11"/>
  <c r="F110" i="11"/>
  <c r="B102" i="30"/>
  <c r="F102" i="30"/>
  <c r="H102" i="28"/>
  <c r="M88" i="28" s="1"/>
  <c r="M89" i="28" s="1"/>
  <c r="I102" i="28"/>
  <c r="F104" i="27"/>
  <c r="H108" i="6"/>
  <c r="M88" i="6" s="1"/>
  <c r="M89" i="6" s="1"/>
  <c r="I108" i="6"/>
  <c r="B106" i="23"/>
  <c r="F106" i="23"/>
  <c r="J99" i="38"/>
  <c r="F107" i="22"/>
  <c r="B107" i="22"/>
  <c r="F110" i="9"/>
  <c r="B110" i="9"/>
  <c r="D101" i="38"/>
  <c r="E101" i="38"/>
  <c r="G100" i="38"/>
  <c r="I108" i="8"/>
  <c r="H108" i="8"/>
  <c r="M88" i="8" s="1"/>
  <c r="M89" i="8" s="1"/>
  <c r="O88" i="29"/>
  <c r="O89" i="29" s="1"/>
  <c r="N89" i="29"/>
  <c r="F104" i="29"/>
  <c r="B104" i="29"/>
  <c r="I103" i="29"/>
  <c r="H103" i="29"/>
  <c r="J103" i="29" s="1"/>
  <c r="G32" i="17"/>
  <c r="G36" i="17"/>
  <c r="G28" i="17"/>
  <c r="G37" i="17"/>
  <c r="G25" i="17"/>
  <c r="G34" i="17"/>
  <c r="V35" i="17"/>
  <c r="G30" i="17"/>
  <c r="D22" i="13"/>
  <c r="E22" i="13"/>
  <c r="H21" i="13"/>
  <c r="G21" i="13"/>
  <c r="I19" i="42"/>
  <c r="F59" i="2"/>
  <c r="F79" i="2" s="1"/>
  <c r="F80" i="2" s="1"/>
  <c r="F82" i="2" s="1"/>
  <c r="F76" i="2"/>
  <c r="F77" i="2" s="1"/>
  <c r="E22" i="44"/>
  <c r="D22" i="44"/>
  <c r="D26" i="27"/>
  <c r="E26" i="27"/>
  <c r="D21" i="38"/>
  <c r="E21" i="38"/>
  <c r="N7" i="8"/>
  <c r="D21" i="37"/>
  <c r="E21" i="37"/>
  <c r="I19" i="45"/>
  <c r="D22" i="39"/>
  <c r="E22" i="39"/>
  <c r="F101" i="44"/>
  <c r="B101" i="44"/>
  <c r="N6" i="31"/>
  <c r="N7" i="31" s="1"/>
  <c r="I22" i="31"/>
  <c r="M19" i="1"/>
  <c r="H21" i="44"/>
  <c r="D26" i="24"/>
  <c r="E26" i="24"/>
  <c r="I29" i="4"/>
  <c r="H99" i="41"/>
  <c r="I99" i="41"/>
  <c r="D33" i="9"/>
  <c r="E33" i="9"/>
  <c r="F104" i="31"/>
  <c r="B104" i="31"/>
  <c r="G25" i="27"/>
  <c r="B100" i="45"/>
  <c r="D20" i="45"/>
  <c r="E20" i="45"/>
  <c r="N7" i="22"/>
  <c r="H25" i="27"/>
  <c r="D30" i="5"/>
  <c r="E30" i="5"/>
  <c r="H26" i="23"/>
  <c r="G100" i="39"/>
  <c r="D101" i="39"/>
  <c r="E101" i="39"/>
  <c r="B100" i="43"/>
  <c r="F100" i="43"/>
  <c r="H100" i="44"/>
  <c r="I100" i="44"/>
  <c r="M88" i="39"/>
  <c r="M89" i="39" s="1"/>
  <c r="E100" i="45"/>
  <c r="F100" i="45" s="1"/>
  <c r="N5" i="31"/>
  <c r="I21" i="39"/>
  <c r="D21" i="41"/>
  <c r="E21" i="41"/>
  <c r="H99" i="45"/>
  <c r="I99" i="45"/>
  <c r="B102" i="42"/>
  <c r="E21" i="40"/>
  <c r="D21" i="40"/>
  <c r="I99" i="43"/>
  <c r="H99" i="43"/>
  <c r="N7" i="24"/>
  <c r="I29" i="8"/>
  <c r="J99" i="39"/>
  <c r="N88" i="39"/>
  <c r="D23" i="30"/>
  <c r="E23" i="30"/>
  <c r="F100" i="41"/>
  <c r="B100" i="41"/>
  <c r="D20" i="42"/>
  <c r="E20" i="42"/>
  <c r="I24" i="29"/>
  <c r="G20" i="41"/>
  <c r="I20" i="41" s="1"/>
  <c r="F102" i="13"/>
  <c r="B102" i="13"/>
  <c r="I101" i="42"/>
  <c r="H101" i="42"/>
  <c r="E32" i="11"/>
  <c r="D32" i="11"/>
  <c r="D27" i="23"/>
  <c r="E27" i="23"/>
  <c r="G25" i="29"/>
  <c r="F25" i="29"/>
  <c r="B25" i="29"/>
  <c r="E30" i="3"/>
  <c r="D30" i="3"/>
  <c r="I31" i="10"/>
  <c r="I103" i="31"/>
  <c r="H103" i="31"/>
  <c r="D28" i="25"/>
  <c r="E28" i="25"/>
  <c r="O88" i="31"/>
  <c r="O89" i="31" s="1"/>
  <c r="N89" i="31"/>
  <c r="I32" i="7"/>
  <c r="H101" i="13"/>
  <c r="I101" i="13"/>
  <c r="E102" i="42"/>
  <c r="E33" i="7"/>
  <c r="D33" i="7"/>
  <c r="D24" i="28"/>
  <c r="E24" i="28"/>
  <c r="G20" i="40"/>
  <c r="D28" i="22"/>
  <c r="E28" i="22"/>
  <c r="D21" i="43"/>
  <c r="E21" i="43"/>
  <c r="D30" i="8"/>
  <c r="E30" i="8"/>
  <c r="H20" i="37"/>
  <c r="D32" i="10"/>
  <c r="E32" i="10"/>
  <c r="I29" i="3"/>
  <c r="I25" i="24"/>
  <c r="F31" i="6"/>
  <c r="H31" i="6"/>
  <c r="B31" i="6"/>
  <c r="H27" i="25"/>
  <c r="F23" i="31"/>
  <c r="G23" i="31"/>
  <c r="H23" i="31"/>
  <c r="I23" i="31" s="1"/>
  <c r="B23" i="31"/>
  <c r="H20" i="38"/>
  <c r="I20" i="40"/>
  <c r="H31" i="11"/>
  <c r="G21" i="44"/>
  <c r="D30" i="4"/>
  <c r="E30" i="4"/>
  <c r="E35" i="17"/>
  <c r="F23" i="17"/>
  <c r="F35" i="17"/>
  <c r="I23" i="17"/>
  <c r="I26" i="17"/>
  <c r="I19" i="17"/>
  <c r="I30" i="17"/>
  <c r="I31" i="17"/>
  <c r="I28" i="17"/>
  <c r="I29" i="17"/>
  <c r="I38" i="17"/>
  <c r="I27" i="17"/>
  <c r="I21" i="17"/>
  <c r="I18" i="17"/>
  <c r="I34" i="17"/>
  <c r="I20" i="17"/>
  <c r="I24" i="17"/>
  <c r="I22" i="17"/>
  <c r="F29" i="17"/>
  <c r="I36" i="17"/>
  <c r="F27" i="17"/>
  <c r="I32" i="17"/>
  <c r="I25" i="17"/>
  <c r="V23" i="17" l="1"/>
  <c r="V32" i="17"/>
  <c r="V30" i="17"/>
  <c r="V25" i="17"/>
  <c r="V26" i="17"/>
  <c r="V20" i="17"/>
  <c r="V27" i="17"/>
  <c r="V22" i="17"/>
  <c r="V21" i="17"/>
  <c r="V36" i="17"/>
  <c r="V34" i="17"/>
  <c r="V31" i="17"/>
  <c r="V19" i="17"/>
  <c r="V29" i="17"/>
  <c r="V24" i="17"/>
  <c r="V28" i="17"/>
  <c r="G110" i="11"/>
  <c r="E111" i="11"/>
  <c r="D111" i="11"/>
  <c r="J107" i="5"/>
  <c r="N88" i="5"/>
  <c r="G100" i="37"/>
  <c r="D101" i="37"/>
  <c r="E101" i="37"/>
  <c r="N88" i="7"/>
  <c r="J110" i="7"/>
  <c r="F101" i="38"/>
  <c r="B101" i="38"/>
  <c r="G107" i="22"/>
  <c r="D108" i="22"/>
  <c r="E108" i="22"/>
  <c r="N88" i="6"/>
  <c r="J108" i="6"/>
  <c r="G108" i="5"/>
  <c r="D109" i="5"/>
  <c r="E109" i="5"/>
  <c r="D104" i="28"/>
  <c r="B104" i="28" s="1"/>
  <c r="G103" i="28"/>
  <c r="E104" i="28"/>
  <c r="E108" i="25"/>
  <c r="G107" i="25"/>
  <c r="D108" i="25"/>
  <c r="J102" i="28"/>
  <c r="N88" i="28"/>
  <c r="N88" i="11"/>
  <c r="J109" i="11"/>
  <c r="G111" i="10"/>
  <c r="D112" i="10"/>
  <c r="B112" i="10" s="1"/>
  <c r="E112" i="10"/>
  <c r="E101" i="40"/>
  <c r="G100" i="40"/>
  <c r="D101" i="40"/>
  <c r="G109" i="6"/>
  <c r="D110" i="6"/>
  <c r="E110" i="6"/>
  <c r="N88" i="8"/>
  <c r="J108" i="8"/>
  <c r="G102" i="30"/>
  <c r="D103" i="30"/>
  <c r="E103" i="30"/>
  <c r="N88" i="4"/>
  <c r="J107" i="4"/>
  <c r="N88" i="24"/>
  <c r="J104" i="24"/>
  <c r="D109" i="3"/>
  <c r="G108" i="3"/>
  <c r="E109" i="3"/>
  <c r="G111" i="7"/>
  <c r="D112" i="7"/>
  <c r="E112" i="7"/>
  <c r="J109" i="9"/>
  <c r="N88" i="9"/>
  <c r="J105" i="23"/>
  <c r="N88" i="23"/>
  <c r="N88" i="3"/>
  <c r="J107" i="3"/>
  <c r="N88" i="25"/>
  <c r="J106" i="25"/>
  <c r="N88" i="10"/>
  <c r="J110" i="10"/>
  <c r="J106" i="22"/>
  <c r="N88" i="22"/>
  <c r="I100" i="38"/>
  <c r="H100" i="38"/>
  <c r="G110" i="9"/>
  <c r="D111" i="9"/>
  <c r="E111" i="9"/>
  <c r="D107" i="23"/>
  <c r="E107" i="23"/>
  <c r="G106" i="23"/>
  <c r="D105" i="27"/>
  <c r="G104" i="27"/>
  <c r="E105" i="27"/>
  <c r="G109" i="8"/>
  <c r="D110" i="8"/>
  <c r="E110" i="8"/>
  <c r="D109" i="4"/>
  <c r="E109" i="4"/>
  <c r="G108" i="4"/>
  <c r="G105" i="24"/>
  <c r="D106" i="24"/>
  <c r="E106" i="24"/>
  <c r="N88" i="37"/>
  <c r="J99" i="37"/>
  <c r="N88" i="30"/>
  <c r="J101" i="30"/>
  <c r="N88" i="27"/>
  <c r="J103" i="27"/>
  <c r="D105" i="29"/>
  <c r="B105" i="29" s="1"/>
  <c r="G104" i="29"/>
  <c r="E105" i="29"/>
  <c r="F105" i="29" s="1"/>
  <c r="G29" i="17"/>
  <c r="V38" i="17"/>
  <c r="I47" i="17"/>
  <c r="F47" i="17"/>
  <c r="G23" i="17"/>
  <c r="G27" i="17"/>
  <c r="G35" i="17"/>
  <c r="E47" i="17"/>
  <c r="E48" i="17" s="1"/>
  <c r="G100" i="45"/>
  <c r="D101" i="45"/>
  <c r="E101" i="45"/>
  <c r="F21" i="43"/>
  <c r="G21" i="43"/>
  <c r="B21" i="43"/>
  <c r="B26" i="24"/>
  <c r="F26" i="24"/>
  <c r="F32" i="10"/>
  <c r="B32" i="10"/>
  <c r="F33" i="9"/>
  <c r="G33" i="9"/>
  <c r="H33" i="9"/>
  <c r="B33" i="9"/>
  <c r="B33" i="7"/>
  <c r="F33" i="7"/>
  <c r="G33" i="7" s="1"/>
  <c r="I26" i="23"/>
  <c r="B27" i="23"/>
  <c r="F27" i="23"/>
  <c r="G27" i="23"/>
  <c r="G21" i="41"/>
  <c r="F21" i="41"/>
  <c r="H21" i="41"/>
  <c r="B21" i="41"/>
  <c r="D24" i="31"/>
  <c r="E24" i="31"/>
  <c r="I27" i="25"/>
  <c r="I20" i="37"/>
  <c r="B24" i="28"/>
  <c r="F24" i="28"/>
  <c r="N89" i="39"/>
  <c r="O88" i="39"/>
  <c r="O89" i="39" s="1"/>
  <c r="J100" i="44"/>
  <c r="F101" i="39"/>
  <c r="B101" i="39"/>
  <c r="J99" i="41"/>
  <c r="I21" i="44"/>
  <c r="N19" i="1"/>
  <c r="B20" i="45"/>
  <c r="F20" i="45"/>
  <c r="H20" i="45"/>
  <c r="B26" i="27"/>
  <c r="F26" i="27"/>
  <c r="H26" i="27"/>
  <c r="I20" i="38"/>
  <c r="F30" i="4"/>
  <c r="B30" i="4"/>
  <c r="G30" i="4"/>
  <c r="J101" i="42"/>
  <c r="H100" i="39"/>
  <c r="I100" i="39"/>
  <c r="I25" i="27"/>
  <c r="R132" i="1"/>
  <c r="M20" i="1"/>
  <c r="D102" i="44"/>
  <c r="E102" i="44" s="1"/>
  <c r="G101" i="44"/>
  <c r="B22" i="44"/>
  <c r="F22" i="44"/>
  <c r="I21" i="13"/>
  <c r="G100" i="41"/>
  <c r="D101" i="41"/>
  <c r="E101" i="41"/>
  <c r="G21" i="37"/>
  <c r="F21" i="37"/>
  <c r="H21" i="37"/>
  <c r="B21" i="37"/>
  <c r="D32" i="6"/>
  <c r="E32" i="6"/>
  <c r="B30" i="5"/>
  <c r="F30" i="5"/>
  <c r="G104" i="31"/>
  <c r="E105" i="31"/>
  <c r="D105" i="31"/>
  <c r="J103" i="31"/>
  <c r="B23" i="30"/>
  <c r="F23" i="30"/>
  <c r="G23" i="30"/>
  <c r="F20" i="42"/>
  <c r="B20" i="42"/>
  <c r="G31" i="6"/>
  <c r="J101" i="13"/>
  <c r="N88" i="13"/>
  <c r="B28" i="25"/>
  <c r="F28" i="25"/>
  <c r="G28" i="25"/>
  <c r="H21" i="40"/>
  <c r="B21" i="40"/>
  <c r="F21" i="40"/>
  <c r="G21" i="40"/>
  <c r="F30" i="3"/>
  <c r="B30" i="3"/>
  <c r="J99" i="43"/>
  <c r="B32" i="11"/>
  <c r="F32" i="11"/>
  <c r="H32" i="11" s="1"/>
  <c r="F30" i="8"/>
  <c r="H30" i="8" s="1"/>
  <c r="B30" i="8"/>
  <c r="D26" i="29"/>
  <c r="E26" i="29"/>
  <c r="F102" i="42"/>
  <c r="I31" i="11"/>
  <c r="B28" i="22"/>
  <c r="F28" i="22"/>
  <c r="G28" i="22" s="1"/>
  <c r="H28" i="22"/>
  <c r="M88" i="13"/>
  <c r="M89" i="13" s="1"/>
  <c r="H25" i="29"/>
  <c r="D103" i="13"/>
  <c r="E103" i="13" s="1"/>
  <c r="G102" i="13"/>
  <c r="J99" i="45"/>
  <c r="G100" i="43"/>
  <c r="D101" i="43"/>
  <c r="E101" i="43"/>
  <c r="B22" i="39"/>
  <c r="F22" i="39"/>
  <c r="H22" i="39"/>
  <c r="G22" i="39"/>
  <c r="B21" i="38"/>
  <c r="F21" i="38"/>
  <c r="H21" i="38"/>
  <c r="G21" i="38"/>
  <c r="F22" i="13"/>
  <c r="B22" i="13"/>
  <c r="H105" i="24" l="1"/>
  <c r="I105" i="24"/>
  <c r="J105" i="24" s="1"/>
  <c r="I104" i="27"/>
  <c r="H104" i="27"/>
  <c r="F107" i="23"/>
  <c r="B107" i="23"/>
  <c r="H111" i="7"/>
  <c r="I111" i="7"/>
  <c r="J111" i="7" s="1"/>
  <c r="N89" i="8"/>
  <c r="O88" i="8"/>
  <c r="O89" i="8" s="1"/>
  <c r="F101" i="40"/>
  <c r="B101" i="40"/>
  <c r="N89" i="28"/>
  <c r="O88" i="28"/>
  <c r="O89" i="28" s="1"/>
  <c r="O88" i="6"/>
  <c r="O89" i="6" s="1"/>
  <c r="N89" i="6"/>
  <c r="N89" i="27"/>
  <c r="O88" i="27"/>
  <c r="O89" i="27" s="1"/>
  <c r="O88" i="37"/>
  <c r="O89" i="37" s="1"/>
  <c r="N89" i="37"/>
  <c r="I108" i="4"/>
  <c r="H108" i="4"/>
  <c r="F110" i="8"/>
  <c r="B110" i="8"/>
  <c r="B105" i="27"/>
  <c r="F105" i="27"/>
  <c r="J100" i="38"/>
  <c r="N89" i="10"/>
  <c r="O88" i="10"/>
  <c r="O89" i="10" s="1"/>
  <c r="N89" i="3"/>
  <c r="O88" i="3"/>
  <c r="O89" i="3" s="1"/>
  <c r="O88" i="24"/>
  <c r="O89" i="24" s="1"/>
  <c r="N89" i="24"/>
  <c r="F103" i="30"/>
  <c r="B103" i="30"/>
  <c r="H100" i="40"/>
  <c r="I100" i="40"/>
  <c r="H111" i="10"/>
  <c r="I111" i="10"/>
  <c r="J111" i="10" s="1"/>
  <c r="F104" i="28"/>
  <c r="F109" i="5"/>
  <c r="B109" i="5"/>
  <c r="D102" i="38"/>
  <c r="E102" i="38"/>
  <c r="G101" i="38"/>
  <c r="B101" i="37"/>
  <c r="F101" i="37"/>
  <c r="B111" i="11"/>
  <c r="F111" i="11"/>
  <c r="I109" i="8"/>
  <c r="J109" i="8" s="1"/>
  <c r="H109" i="8"/>
  <c r="I106" i="23"/>
  <c r="J106" i="23" s="1"/>
  <c r="H106" i="23"/>
  <c r="B111" i="9"/>
  <c r="F111" i="9"/>
  <c r="N89" i="22"/>
  <c r="O88" i="22"/>
  <c r="O89" i="22" s="1"/>
  <c r="O88" i="23"/>
  <c r="O89" i="23" s="1"/>
  <c r="N89" i="23"/>
  <c r="H108" i="3"/>
  <c r="I108" i="3"/>
  <c r="I102" i="30"/>
  <c r="J102" i="30" s="1"/>
  <c r="H102" i="30"/>
  <c r="F110" i="6"/>
  <c r="B110" i="6"/>
  <c r="F108" i="25"/>
  <c r="B108" i="25"/>
  <c r="H103" i="28"/>
  <c r="I103" i="28"/>
  <c r="H108" i="5"/>
  <c r="I108" i="5"/>
  <c r="B108" i="22"/>
  <c r="F108" i="22"/>
  <c r="I100" i="37"/>
  <c r="J100" i="37" s="1"/>
  <c r="H100" i="37"/>
  <c r="N89" i="9"/>
  <c r="O88" i="9"/>
  <c r="O89" i="9" s="1"/>
  <c r="O18" i="2"/>
  <c r="O19" i="2" s="1"/>
  <c r="N89" i="30"/>
  <c r="O88" i="30"/>
  <c r="O89" i="30" s="1"/>
  <c r="F106" i="24"/>
  <c r="B106" i="24"/>
  <c r="F109" i="4"/>
  <c r="B109" i="4"/>
  <c r="H110" i="9"/>
  <c r="I110" i="9"/>
  <c r="J110" i="9" s="1"/>
  <c r="O88" i="25"/>
  <c r="O89" i="25" s="1"/>
  <c r="N89" i="25"/>
  <c r="B112" i="7"/>
  <c r="F112" i="7"/>
  <c r="B109" i="3"/>
  <c r="F109" i="3"/>
  <c r="N89" i="4"/>
  <c r="O88" i="4"/>
  <c r="O89" i="4" s="1"/>
  <c r="I109" i="6"/>
  <c r="H109" i="6"/>
  <c r="F112" i="10"/>
  <c r="N89" i="11"/>
  <c r="O88" i="11"/>
  <c r="O89" i="11" s="1"/>
  <c r="H107" i="25"/>
  <c r="I107" i="25"/>
  <c r="I107" i="22"/>
  <c r="J107" i="22" s="1"/>
  <c r="H107" i="22"/>
  <c r="N89" i="7"/>
  <c r="O88" i="7"/>
  <c r="O89" i="7" s="1"/>
  <c r="N89" i="5"/>
  <c r="O88" i="5"/>
  <c r="O89" i="5" s="1"/>
  <c r="H110" i="11"/>
  <c r="I110" i="11"/>
  <c r="E106" i="29"/>
  <c r="G105" i="29"/>
  <c r="D106" i="29"/>
  <c r="I104" i="29"/>
  <c r="H104" i="29"/>
  <c r="I30" i="8"/>
  <c r="E31" i="3"/>
  <c r="D31" i="3"/>
  <c r="B26" i="29"/>
  <c r="H26" i="29"/>
  <c r="F26" i="29"/>
  <c r="G26" i="29"/>
  <c r="D24" i="30"/>
  <c r="E24" i="30"/>
  <c r="I22" i="39"/>
  <c r="F101" i="43"/>
  <c r="B101" i="43"/>
  <c r="G30" i="8"/>
  <c r="G30" i="3"/>
  <c r="I21" i="40"/>
  <c r="D21" i="42"/>
  <c r="E21" i="42"/>
  <c r="G101" i="39"/>
  <c r="D102" i="39"/>
  <c r="E102" i="39"/>
  <c r="D25" i="28"/>
  <c r="E25" i="28"/>
  <c r="I21" i="41"/>
  <c r="H33" i="7"/>
  <c r="D27" i="24"/>
  <c r="E27" i="24"/>
  <c r="D23" i="13"/>
  <c r="E23" i="13"/>
  <c r="G22" i="13"/>
  <c r="D23" i="39"/>
  <c r="E23" i="39"/>
  <c r="I100" i="43"/>
  <c r="H100" i="43"/>
  <c r="I25" i="29"/>
  <c r="D103" i="42"/>
  <c r="E103" i="42" s="1"/>
  <c r="G102" i="42"/>
  <c r="H30" i="3"/>
  <c r="D29" i="25"/>
  <c r="E29" i="25"/>
  <c r="G20" i="42"/>
  <c r="H23" i="30"/>
  <c r="H101" i="44"/>
  <c r="I101" i="44"/>
  <c r="D22" i="41"/>
  <c r="E22" i="41"/>
  <c r="I21" i="38"/>
  <c r="D29" i="22"/>
  <c r="E29" i="22"/>
  <c r="H104" i="31"/>
  <c r="I104" i="31"/>
  <c r="H32" i="6"/>
  <c r="F32" i="6"/>
  <c r="B32" i="6"/>
  <c r="G32" i="6"/>
  <c r="D23" i="44"/>
  <c r="E23" i="44"/>
  <c r="B24" i="31"/>
  <c r="F24" i="31"/>
  <c r="G24" i="31" s="1"/>
  <c r="H24" i="31"/>
  <c r="D33" i="10"/>
  <c r="E33" i="10"/>
  <c r="I28" i="22"/>
  <c r="D31" i="8"/>
  <c r="E31" i="8"/>
  <c r="B102" i="44"/>
  <c r="F102" i="44"/>
  <c r="D22" i="38"/>
  <c r="E22" i="38"/>
  <c r="G32" i="11"/>
  <c r="I32" i="11" s="1"/>
  <c r="D31" i="5"/>
  <c r="E31" i="5"/>
  <c r="H22" i="44"/>
  <c r="J100" i="39"/>
  <c r="E27" i="27"/>
  <c r="D27" i="27"/>
  <c r="D21" i="45"/>
  <c r="E21" i="45"/>
  <c r="N18" i="2"/>
  <c r="P18" i="2" s="1"/>
  <c r="P19" i="2" s="1"/>
  <c r="D28" i="23"/>
  <c r="E28" i="23"/>
  <c r="I33" i="9"/>
  <c r="H32" i="10"/>
  <c r="F101" i="41"/>
  <c r="B101" i="41"/>
  <c r="I100" i="41"/>
  <c r="H100" i="41"/>
  <c r="B103" i="13"/>
  <c r="F103" i="13"/>
  <c r="D22" i="40"/>
  <c r="E22" i="40"/>
  <c r="H20" i="42"/>
  <c r="G30" i="5"/>
  <c r="I21" i="37"/>
  <c r="D31" i="4"/>
  <c r="E31" i="4"/>
  <c r="R133" i="1"/>
  <c r="O19" i="1"/>
  <c r="F48" i="17" s="1"/>
  <c r="N20" i="1"/>
  <c r="H24" i="28"/>
  <c r="H27" i="23"/>
  <c r="G32" i="10"/>
  <c r="G26" i="24"/>
  <c r="D22" i="43"/>
  <c r="E22" i="43"/>
  <c r="B101" i="45"/>
  <c r="F101" i="45"/>
  <c r="B105" i="31"/>
  <c r="F105" i="31"/>
  <c r="D34" i="7"/>
  <c r="E34" i="7"/>
  <c r="D33" i="11"/>
  <c r="E33" i="11"/>
  <c r="G47" i="17"/>
  <c r="G48" i="17" s="1"/>
  <c r="I102" i="13"/>
  <c r="H102" i="13"/>
  <c r="H22" i="13"/>
  <c r="H28" i="25"/>
  <c r="O88" i="13"/>
  <c r="O89" i="13" s="1"/>
  <c r="N89" i="13"/>
  <c r="H30" i="5"/>
  <c r="D22" i="37"/>
  <c r="E22" i="37"/>
  <c r="I31" i="6"/>
  <c r="G22" i="44"/>
  <c r="H30" i="4"/>
  <c r="G26" i="27"/>
  <c r="G20" i="45"/>
  <c r="I20" i="45" s="1"/>
  <c r="G24" i="28"/>
  <c r="D34" i="9"/>
  <c r="E34" i="9"/>
  <c r="H26" i="24"/>
  <c r="H21" i="43"/>
  <c r="H100" i="45"/>
  <c r="I100" i="45"/>
  <c r="R135" i="2" l="1"/>
  <c r="J109" i="6"/>
  <c r="D110" i="4"/>
  <c r="G109" i="4"/>
  <c r="E110" i="4"/>
  <c r="J108" i="5"/>
  <c r="G111" i="9"/>
  <c r="E112" i="9"/>
  <c r="D112" i="9"/>
  <c r="E102" i="37"/>
  <c r="D102" i="37"/>
  <c r="G101" i="37"/>
  <c r="B102" i="38"/>
  <c r="F102" i="38"/>
  <c r="G110" i="8"/>
  <c r="E111" i="8"/>
  <c r="D111" i="8"/>
  <c r="D102" i="40"/>
  <c r="E102" i="40"/>
  <c r="G101" i="40"/>
  <c r="J104" i="27"/>
  <c r="G109" i="3"/>
  <c r="E110" i="3"/>
  <c r="D110" i="3"/>
  <c r="E105" i="28"/>
  <c r="D105" i="28"/>
  <c r="G104" i="28"/>
  <c r="E113" i="7"/>
  <c r="D113" i="7"/>
  <c r="G112" i="7"/>
  <c r="G108" i="25"/>
  <c r="D109" i="25"/>
  <c r="E109" i="25"/>
  <c r="D104" i="30"/>
  <c r="G103" i="30"/>
  <c r="E104" i="30"/>
  <c r="D106" i="27"/>
  <c r="E106" i="27"/>
  <c r="G105" i="27"/>
  <c r="G110" i="6"/>
  <c r="D111" i="6"/>
  <c r="E111" i="6"/>
  <c r="J110" i="11"/>
  <c r="J107" i="25"/>
  <c r="G112" i="10"/>
  <c r="E113" i="10"/>
  <c r="D113" i="10"/>
  <c r="D107" i="24"/>
  <c r="E107" i="24"/>
  <c r="G106" i="24"/>
  <c r="D109" i="22"/>
  <c r="G108" i="22"/>
  <c r="E109" i="22"/>
  <c r="J103" i="28"/>
  <c r="J108" i="3"/>
  <c r="G111" i="11"/>
  <c r="D112" i="11"/>
  <c r="E112" i="11"/>
  <c r="H101" i="38"/>
  <c r="I101" i="38"/>
  <c r="J101" i="38" s="1"/>
  <c r="G109" i="5"/>
  <c r="D110" i="5"/>
  <c r="E110" i="5"/>
  <c r="J100" i="40"/>
  <c r="J108" i="4"/>
  <c r="E108" i="23"/>
  <c r="D108" i="23"/>
  <c r="G107" i="23"/>
  <c r="J104" i="29"/>
  <c r="O20" i="2"/>
  <c r="F106" i="29"/>
  <c r="B106" i="29"/>
  <c r="I105" i="29"/>
  <c r="H105" i="29"/>
  <c r="P20" i="2"/>
  <c r="I30" i="4"/>
  <c r="B21" i="45"/>
  <c r="F21" i="45"/>
  <c r="H21" i="45" s="1"/>
  <c r="G21" i="45"/>
  <c r="I101" i="39"/>
  <c r="H101" i="39"/>
  <c r="B22" i="43"/>
  <c r="F22" i="43"/>
  <c r="G22" i="43" s="1"/>
  <c r="H22" i="43"/>
  <c r="B22" i="40"/>
  <c r="F22" i="40"/>
  <c r="G22" i="40" s="1"/>
  <c r="F27" i="27"/>
  <c r="G27" i="27" s="1"/>
  <c r="B27" i="27"/>
  <c r="H27" i="27"/>
  <c r="B22" i="38"/>
  <c r="F22" i="38"/>
  <c r="H22" i="38"/>
  <c r="I30" i="3"/>
  <c r="J100" i="43"/>
  <c r="B23" i="13"/>
  <c r="F23" i="13"/>
  <c r="H23" i="13" s="1"/>
  <c r="I33" i="7"/>
  <c r="J104" i="31"/>
  <c r="B31" i="5"/>
  <c r="H31" i="5"/>
  <c r="F31" i="5"/>
  <c r="G31" i="5" s="1"/>
  <c r="G102" i="44"/>
  <c r="D103" i="44"/>
  <c r="E103" i="44" s="1"/>
  <c r="D25" i="31"/>
  <c r="E25" i="31"/>
  <c r="B23" i="44"/>
  <c r="G23" i="44"/>
  <c r="F23" i="44"/>
  <c r="H23" i="44"/>
  <c r="I23" i="44" s="1"/>
  <c r="I23" i="30"/>
  <c r="F27" i="24"/>
  <c r="B27" i="24"/>
  <c r="G27" i="24"/>
  <c r="F31" i="3"/>
  <c r="B31" i="3"/>
  <c r="I20" i="42"/>
  <c r="F102" i="39"/>
  <c r="B102" i="39"/>
  <c r="G101" i="43"/>
  <c r="D102" i="43"/>
  <c r="E102" i="43"/>
  <c r="F34" i="7"/>
  <c r="G34" i="7"/>
  <c r="H34" i="7"/>
  <c r="B34" i="7"/>
  <c r="J100" i="41"/>
  <c r="F24" i="30"/>
  <c r="G24" i="30" s="1"/>
  <c r="H24" i="30"/>
  <c r="B24" i="30"/>
  <c r="F33" i="11"/>
  <c r="B33" i="11"/>
  <c r="E106" i="31"/>
  <c r="D106" i="31"/>
  <c r="G105" i="31"/>
  <c r="G101" i="41"/>
  <c r="D102" i="41"/>
  <c r="E102" i="41"/>
  <c r="B28" i="23"/>
  <c r="F28" i="23"/>
  <c r="H28" i="23"/>
  <c r="I28" i="23" s="1"/>
  <c r="G28" i="23"/>
  <c r="B23" i="39"/>
  <c r="F23" i="39"/>
  <c r="H23" i="39" s="1"/>
  <c r="E27" i="29"/>
  <c r="D27" i="29"/>
  <c r="J100" i="45"/>
  <c r="H34" i="9"/>
  <c r="G34" i="9"/>
  <c r="B34" i="9"/>
  <c r="F34" i="9"/>
  <c r="F22" i="37"/>
  <c r="H22" i="37" s="1"/>
  <c r="G22" i="37"/>
  <c r="B22" i="37"/>
  <c r="I22" i="13"/>
  <c r="R134" i="1"/>
  <c r="O20" i="1"/>
  <c r="R134" i="2"/>
  <c r="N19" i="2"/>
  <c r="N20" i="2" s="1"/>
  <c r="F33" i="10"/>
  <c r="H33" i="10" s="1"/>
  <c r="G33" i="10"/>
  <c r="B33" i="10"/>
  <c r="H102" i="42"/>
  <c r="I102" i="42"/>
  <c r="G21" i="42"/>
  <c r="F21" i="42"/>
  <c r="B21" i="42"/>
  <c r="I26" i="29"/>
  <c r="B31" i="8"/>
  <c r="F31" i="8"/>
  <c r="G31" i="8" s="1"/>
  <c r="H31" i="8"/>
  <c r="I24" i="31"/>
  <c r="I30" i="5"/>
  <c r="G103" i="13"/>
  <c r="D104" i="13"/>
  <c r="E104" i="13"/>
  <c r="I26" i="27"/>
  <c r="H29" i="25"/>
  <c r="B29" i="25"/>
  <c r="F29" i="25"/>
  <c r="F103" i="42"/>
  <c r="B103" i="42"/>
  <c r="B25" i="28"/>
  <c r="F25" i="28"/>
  <c r="H25" i="28" s="1"/>
  <c r="I26" i="24"/>
  <c r="J102" i="13"/>
  <c r="B31" i="4"/>
  <c r="G31" i="4"/>
  <c r="F31" i="4"/>
  <c r="H31" i="4"/>
  <c r="I31" i="4" s="1"/>
  <c r="I32" i="6"/>
  <c r="I28" i="25"/>
  <c r="I24" i="28"/>
  <c r="I32" i="10"/>
  <c r="I21" i="43"/>
  <c r="D102" i="45"/>
  <c r="E102" i="45" s="1"/>
  <c r="G101" i="45"/>
  <c r="I27" i="23"/>
  <c r="I22" i="44"/>
  <c r="D33" i="6"/>
  <c r="E33" i="6"/>
  <c r="B29" i="22"/>
  <c r="H29" i="22"/>
  <c r="F29" i="22"/>
  <c r="G29" i="22"/>
  <c r="F22" i="41"/>
  <c r="B22" i="41"/>
  <c r="G22" i="41"/>
  <c r="H22" i="41"/>
  <c r="J101" i="44"/>
  <c r="B112" i="11" l="1"/>
  <c r="F112" i="11"/>
  <c r="I112" i="10"/>
  <c r="H112" i="10"/>
  <c r="B113" i="7"/>
  <c r="F113" i="7"/>
  <c r="B111" i="8"/>
  <c r="F111" i="8"/>
  <c r="F112" i="9"/>
  <c r="B112" i="9"/>
  <c r="H107" i="23"/>
  <c r="I107" i="23"/>
  <c r="J107" i="23" s="1"/>
  <c r="I111" i="11"/>
  <c r="J111" i="11" s="1"/>
  <c r="H111" i="11"/>
  <c r="H108" i="22"/>
  <c r="I108" i="22"/>
  <c r="J108" i="22" s="1"/>
  <c r="B107" i="24"/>
  <c r="F107" i="24"/>
  <c r="I110" i="6"/>
  <c r="H110" i="6"/>
  <c r="F109" i="25"/>
  <c r="B109" i="25"/>
  <c r="B110" i="3"/>
  <c r="F110" i="3"/>
  <c r="H101" i="40"/>
  <c r="I101" i="40"/>
  <c r="I101" i="37"/>
  <c r="H101" i="37"/>
  <c r="H109" i="4"/>
  <c r="I109" i="4"/>
  <c r="J109" i="4" s="1"/>
  <c r="I109" i="5"/>
  <c r="H109" i="5"/>
  <c r="B106" i="27"/>
  <c r="F106" i="27"/>
  <c r="B108" i="23"/>
  <c r="F108" i="23"/>
  <c r="B109" i="22"/>
  <c r="F109" i="22"/>
  <c r="B113" i="10"/>
  <c r="F113" i="10"/>
  <c r="I105" i="27"/>
  <c r="J105" i="27" s="1"/>
  <c r="H105" i="27"/>
  <c r="H103" i="30"/>
  <c r="I103" i="30"/>
  <c r="J103" i="30" s="1"/>
  <c r="H108" i="25"/>
  <c r="I108" i="25"/>
  <c r="I104" i="28"/>
  <c r="H104" i="28"/>
  <c r="H110" i="8"/>
  <c r="I110" i="8"/>
  <c r="F102" i="37"/>
  <c r="B102" i="37"/>
  <c r="I111" i="9"/>
  <c r="J111" i="9" s="1"/>
  <c r="H111" i="9"/>
  <c r="B110" i="4"/>
  <c r="F110" i="4"/>
  <c r="F111" i="6"/>
  <c r="B111" i="6"/>
  <c r="F110" i="5"/>
  <c r="B110" i="5"/>
  <c r="I106" i="24"/>
  <c r="H106" i="24"/>
  <c r="F104" i="30"/>
  <c r="B104" i="30"/>
  <c r="I112" i="7"/>
  <c r="H112" i="7"/>
  <c r="F105" i="28"/>
  <c r="B105" i="28"/>
  <c r="H109" i="3"/>
  <c r="I109" i="3"/>
  <c r="B102" i="40"/>
  <c r="F102" i="40"/>
  <c r="G102" i="38"/>
  <c r="E103" i="38"/>
  <c r="D103" i="38"/>
  <c r="J105" i="29"/>
  <c r="D107" i="29"/>
  <c r="E107" i="29"/>
  <c r="G106" i="29"/>
  <c r="I22" i="37"/>
  <c r="I21" i="45"/>
  <c r="I33" i="10"/>
  <c r="I31" i="8"/>
  <c r="D34" i="11"/>
  <c r="E34" i="11"/>
  <c r="I101" i="43"/>
  <c r="H101" i="43"/>
  <c r="D32" i="3"/>
  <c r="E32" i="3"/>
  <c r="I31" i="5"/>
  <c r="I27" i="27"/>
  <c r="H22" i="40"/>
  <c r="I22" i="40" s="1"/>
  <c r="F104" i="13"/>
  <c r="B104" i="13"/>
  <c r="D22" i="42"/>
  <c r="E22" i="42"/>
  <c r="G23" i="39"/>
  <c r="I23" i="39" s="1"/>
  <c r="I29" i="22"/>
  <c r="H103" i="13"/>
  <c r="I103" i="13"/>
  <c r="I24" i="30"/>
  <c r="B33" i="6"/>
  <c r="F33" i="6"/>
  <c r="H33" i="6"/>
  <c r="G33" i="6"/>
  <c r="F27" i="29"/>
  <c r="B27" i="29"/>
  <c r="H101" i="41"/>
  <c r="I101" i="41"/>
  <c r="B106" i="31"/>
  <c r="F106" i="31"/>
  <c r="I34" i="7"/>
  <c r="D28" i="27"/>
  <c r="E28" i="27"/>
  <c r="D22" i="45"/>
  <c r="E22" i="45"/>
  <c r="G25" i="28"/>
  <c r="I25" i="28" s="1"/>
  <c r="G103" i="42"/>
  <c r="D104" i="42"/>
  <c r="D23" i="37"/>
  <c r="E23" i="37"/>
  <c r="D25" i="30"/>
  <c r="E25" i="30"/>
  <c r="D28" i="24"/>
  <c r="E28" i="24"/>
  <c r="B103" i="44"/>
  <c r="F103" i="44"/>
  <c r="G23" i="13"/>
  <c r="I23" i="13" s="1"/>
  <c r="I22" i="43"/>
  <c r="I22" i="41"/>
  <c r="H105" i="31"/>
  <c r="I105" i="31"/>
  <c r="D23" i="41"/>
  <c r="E23" i="41"/>
  <c r="D32" i="4"/>
  <c r="E32" i="4"/>
  <c r="D30" i="25"/>
  <c r="E30" i="25"/>
  <c r="D35" i="9"/>
  <c r="E35" i="9"/>
  <c r="D29" i="23"/>
  <c r="E29" i="23"/>
  <c r="H33" i="11"/>
  <c r="D35" i="7"/>
  <c r="E35" i="7"/>
  <c r="H31" i="3"/>
  <c r="H27" i="24"/>
  <c r="I102" i="44"/>
  <c r="H102" i="44"/>
  <c r="D23" i="38"/>
  <c r="E23" i="38"/>
  <c r="D32" i="8"/>
  <c r="E32" i="8"/>
  <c r="E24" i="39"/>
  <c r="D24" i="39"/>
  <c r="B25" i="31"/>
  <c r="F25" i="31"/>
  <c r="G25" i="31"/>
  <c r="H25" i="31"/>
  <c r="D34" i="10"/>
  <c r="E34" i="10"/>
  <c r="D24" i="44"/>
  <c r="E24" i="44"/>
  <c r="D23" i="43"/>
  <c r="E23" i="43"/>
  <c r="I34" i="9"/>
  <c r="D26" i="28"/>
  <c r="E26" i="28"/>
  <c r="B102" i="41"/>
  <c r="F102" i="41"/>
  <c r="D103" i="39"/>
  <c r="G102" i="39"/>
  <c r="E103" i="39"/>
  <c r="D24" i="13"/>
  <c r="E24" i="13" s="1"/>
  <c r="D23" i="40"/>
  <c r="E23" i="40"/>
  <c r="H101" i="45"/>
  <c r="I101" i="45"/>
  <c r="D30" i="22"/>
  <c r="E30" i="22"/>
  <c r="B102" i="45"/>
  <c r="F102" i="45"/>
  <c r="G29" i="25"/>
  <c r="I29" i="25" s="1"/>
  <c r="H21" i="42"/>
  <c r="J102" i="42"/>
  <c r="G33" i="11"/>
  <c r="F102" i="43"/>
  <c r="B102" i="43"/>
  <c r="G31" i="3"/>
  <c r="D32" i="5"/>
  <c r="E32" i="5"/>
  <c r="G22" i="38"/>
  <c r="I22" i="38" s="1"/>
  <c r="J101" i="39"/>
  <c r="D111" i="4" l="1"/>
  <c r="G110" i="4"/>
  <c r="E111" i="4"/>
  <c r="D109" i="23"/>
  <c r="E109" i="23"/>
  <c r="G108" i="23"/>
  <c r="D111" i="3"/>
  <c r="G110" i="3"/>
  <c r="E111" i="3"/>
  <c r="B103" i="38"/>
  <c r="F103" i="38"/>
  <c r="D106" i="28"/>
  <c r="E106" i="28"/>
  <c r="G105" i="28"/>
  <c r="E105" i="30"/>
  <c r="D105" i="30"/>
  <c r="G104" i="30"/>
  <c r="E111" i="5"/>
  <c r="D111" i="5"/>
  <c r="G110" i="5"/>
  <c r="G102" i="37"/>
  <c r="D103" i="37"/>
  <c r="E103" i="37"/>
  <c r="J104" i="28"/>
  <c r="J109" i="5"/>
  <c r="J101" i="37"/>
  <c r="J110" i="6"/>
  <c r="J112" i="10"/>
  <c r="D103" i="40"/>
  <c r="G102" i="40"/>
  <c r="E103" i="40"/>
  <c r="J109" i="3"/>
  <c r="J110" i="8"/>
  <c r="J108" i="25"/>
  <c r="D110" i="22"/>
  <c r="G109" i="22"/>
  <c r="E110" i="22"/>
  <c r="G106" i="27"/>
  <c r="D107" i="27"/>
  <c r="E107" i="27"/>
  <c r="J101" i="40"/>
  <c r="D108" i="24"/>
  <c r="G107" i="24"/>
  <c r="E108" i="24"/>
  <c r="G113" i="7"/>
  <c r="D114" i="7"/>
  <c r="E114" i="7"/>
  <c r="D113" i="11"/>
  <c r="E113" i="11"/>
  <c r="G112" i="11"/>
  <c r="D114" i="10"/>
  <c r="E114" i="10"/>
  <c r="G113" i="10"/>
  <c r="D112" i="8"/>
  <c r="G111" i="8"/>
  <c r="E112" i="8"/>
  <c r="I102" i="38"/>
  <c r="H102" i="38"/>
  <c r="J112" i="7"/>
  <c r="J106" i="24"/>
  <c r="G111" i="6"/>
  <c r="E112" i="6"/>
  <c r="D112" i="6"/>
  <c r="D110" i="25"/>
  <c r="E110" i="25"/>
  <c r="G109" i="25"/>
  <c r="G112" i="9"/>
  <c r="D113" i="9"/>
  <c r="E113" i="9"/>
  <c r="H106" i="29"/>
  <c r="I106" i="29"/>
  <c r="B107" i="29"/>
  <c r="F107" i="29"/>
  <c r="J105" i="31"/>
  <c r="J101" i="45"/>
  <c r="B23" i="37"/>
  <c r="F23" i="37"/>
  <c r="H23" i="37" s="1"/>
  <c r="B22" i="45"/>
  <c r="F22" i="45"/>
  <c r="H22" i="45" s="1"/>
  <c r="G106" i="31"/>
  <c r="E107" i="31"/>
  <c r="D107" i="31"/>
  <c r="D105" i="13"/>
  <c r="E105" i="13" s="1"/>
  <c r="G104" i="13"/>
  <c r="F32" i="3"/>
  <c r="H32" i="3"/>
  <c r="B32" i="3"/>
  <c r="G102" i="43"/>
  <c r="D103" i="43"/>
  <c r="E103" i="43"/>
  <c r="F23" i="38"/>
  <c r="B23" i="38"/>
  <c r="H23" i="38"/>
  <c r="G23" i="38"/>
  <c r="B32" i="5"/>
  <c r="F32" i="5"/>
  <c r="H32" i="5"/>
  <c r="G32" i="5"/>
  <c r="D103" i="45"/>
  <c r="E103" i="45" s="1"/>
  <c r="G102" i="45"/>
  <c r="H102" i="39"/>
  <c r="I102" i="39"/>
  <c r="I25" i="31"/>
  <c r="B32" i="8"/>
  <c r="G32" i="8"/>
  <c r="F32" i="8"/>
  <c r="H32" i="8" s="1"/>
  <c r="I27" i="24"/>
  <c r="F29" i="23"/>
  <c r="G29" i="23" s="1"/>
  <c r="B29" i="23"/>
  <c r="H29" i="23"/>
  <c r="H28" i="24"/>
  <c r="I28" i="24" s="1"/>
  <c r="F28" i="24"/>
  <c r="G28" i="24"/>
  <c r="B28" i="24"/>
  <c r="B28" i="27"/>
  <c r="F28" i="27"/>
  <c r="G28" i="27" s="1"/>
  <c r="J101" i="41"/>
  <c r="I33" i="6"/>
  <c r="J101" i="43"/>
  <c r="F30" i="25"/>
  <c r="H30" i="25"/>
  <c r="B30" i="25"/>
  <c r="B103" i="39"/>
  <c r="F103" i="39"/>
  <c r="F23" i="43"/>
  <c r="G23" i="43"/>
  <c r="H23" i="43"/>
  <c r="B23" i="43"/>
  <c r="I31" i="3"/>
  <c r="B32" i="4"/>
  <c r="F32" i="4"/>
  <c r="G32" i="4"/>
  <c r="H32" i="4"/>
  <c r="I32" i="4" s="1"/>
  <c r="B104" i="42"/>
  <c r="D34" i="6"/>
  <c r="E34" i="6"/>
  <c r="E28" i="29"/>
  <c r="D28" i="29"/>
  <c r="B23" i="40"/>
  <c r="F23" i="40"/>
  <c r="H23" i="40" s="1"/>
  <c r="I23" i="40" s="1"/>
  <c r="G23" i="40"/>
  <c r="G102" i="41"/>
  <c r="D103" i="41"/>
  <c r="E103" i="41"/>
  <c r="D26" i="31"/>
  <c r="E26" i="31"/>
  <c r="F35" i="9"/>
  <c r="G35" i="9"/>
  <c r="B35" i="9"/>
  <c r="H35" i="9"/>
  <c r="I35" i="9" s="1"/>
  <c r="B25" i="30"/>
  <c r="F25" i="30"/>
  <c r="H25" i="30" s="1"/>
  <c r="H103" i="42"/>
  <c r="I103" i="42"/>
  <c r="B34" i="11"/>
  <c r="F34" i="11"/>
  <c r="G34" i="11" s="1"/>
  <c r="I21" i="42"/>
  <c r="J102" i="44"/>
  <c r="B30" i="22"/>
  <c r="F30" i="22"/>
  <c r="H30" i="22" s="1"/>
  <c r="H26" i="28"/>
  <c r="F26" i="28"/>
  <c r="G26" i="28"/>
  <c r="B26" i="28"/>
  <c r="B35" i="7"/>
  <c r="F35" i="7"/>
  <c r="H35" i="7" s="1"/>
  <c r="E104" i="42"/>
  <c r="F104" i="42" s="1"/>
  <c r="G27" i="29"/>
  <c r="B22" i="42"/>
  <c r="G22" i="42"/>
  <c r="F22" i="42"/>
  <c r="D104" i="44"/>
  <c r="G103" i="44"/>
  <c r="F24" i="13"/>
  <c r="H24" i="13"/>
  <c r="B24" i="13"/>
  <c r="G24" i="13"/>
  <c r="F24" i="44"/>
  <c r="G24" i="44"/>
  <c r="B24" i="44"/>
  <c r="F34" i="10"/>
  <c r="G34" i="10"/>
  <c r="H34" i="10"/>
  <c r="B34" i="10"/>
  <c r="B24" i="39"/>
  <c r="F24" i="39"/>
  <c r="I33" i="11"/>
  <c r="F23" i="41"/>
  <c r="G23" i="41" s="1"/>
  <c r="H23" i="41"/>
  <c r="B23" i="41"/>
  <c r="H27" i="29"/>
  <c r="J103" i="13"/>
  <c r="J102" i="38" l="1"/>
  <c r="B113" i="9"/>
  <c r="F113" i="9"/>
  <c r="B113" i="11"/>
  <c r="F113" i="11"/>
  <c r="I110" i="5"/>
  <c r="J110" i="5" s="1"/>
  <c r="H110" i="5"/>
  <c r="B109" i="23"/>
  <c r="F109" i="23"/>
  <c r="H112" i="9"/>
  <c r="I112" i="9"/>
  <c r="F112" i="6"/>
  <c r="B112" i="6"/>
  <c r="H111" i="8"/>
  <c r="I111" i="8"/>
  <c r="B114" i="10"/>
  <c r="F114" i="10"/>
  <c r="I107" i="24"/>
  <c r="J107" i="24" s="1"/>
  <c r="H107" i="24"/>
  <c r="F107" i="27"/>
  <c r="B107" i="27"/>
  <c r="B110" i="22"/>
  <c r="F110" i="22"/>
  <c r="F111" i="5"/>
  <c r="B111" i="5"/>
  <c r="G103" i="38"/>
  <c r="D104" i="38"/>
  <c r="E104" i="38"/>
  <c r="F111" i="3"/>
  <c r="B111" i="3"/>
  <c r="F110" i="25"/>
  <c r="B110" i="25"/>
  <c r="I109" i="22"/>
  <c r="J109" i="22" s="1"/>
  <c r="H109" i="22"/>
  <c r="F106" i="28"/>
  <c r="B106" i="28"/>
  <c r="H110" i="3"/>
  <c r="I110" i="3"/>
  <c r="I109" i="25"/>
  <c r="H109" i="25"/>
  <c r="F112" i="8"/>
  <c r="B112" i="8"/>
  <c r="I112" i="11"/>
  <c r="H112" i="11"/>
  <c r="F114" i="7"/>
  <c r="B114" i="7"/>
  <c r="B108" i="24"/>
  <c r="F108" i="24"/>
  <c r="H106" i="27"/>
  <c r="I106" i="27"/>
  <c r="I102" i="40"/>
  <c r="H102" i="40"/>
  <c r="F103" i="37"/>
  <c r="B103" i="37"/>
  <c r="I105" i="28"/>
  <c r="H105" i="28"/>
  <c r="H108" i="23"/>
  <c r="I108" i="23"/>
  <c r="I110" i="4"/>
  <c r="H110" i="4"/>
  <c r="B105" i="30"/>
  <c r="F105" i="30"/>
  <c r="H111" i="6"/>
  <c r="I111" i="6"/>
  <c r="J111" i="6" s="1"/>
  <c r="H113" i="10"/>
  <c r="I113" i="10"/>
  <c r="H113" i="7"/>
  <c r="I113" i="7"/>
  <c r="J113" i="7" s="1"/>
  <c r="F103" i="40"/>
  <c r="B103" i="40"/>
  <c r="H102" i="37"/>
  <c r="I102" i="37"/>
  <c r="J102" i="37" s="1"/>
  <c r="H104" i="30"/>
  <c r="I104" i="30"/>
  <c r="F111" i="4"/>
  <c r="B111" i="4"/>
  <c r="E108" i="29"/>
  <c r="D108" i="29"/>
  <c r="G107" i="29"/>
  <c r="J106" i="29"/>
  <c r="I32" i="8"/>
  <c r="I27" i="29"/>
  <c r="B104" i="44"/>
  <c r="I102" i="45"/>
  <c r="H102" i="45"/>
  <c r="D33" i="3"/>
  <c r="E33" i="3"/>
  <c r="G22" i="45"/>
  <c r="I22" i="45" s="1"/>
  <c r="D35" i="10"/>
  <c r="E35" i="10"/>
  <c r="D25" i="13"/>
  <c r="E25" i="13"/>
  <c r="G35" i="7"/>
  <c r="I35" i="7" s="1"/>
  <c r="G30" i="22"/>
  <c r="I30" i="22" s="1"/>
  <c r="B103" i="45"/>
  <c r="F103" i="45"/>
  <c r="D24" i="38"/>
  <c r="E24" i="38"/>
  <c r="I104" i="13"/>
  <c r="H104" i="13"/>
  <c r="D31" i="25"/>
  <c r="E31" i="25"/>
  <c r="I32" i="5"/>
  <c r="F103" i="43"/>
  <c r="B103" i="43"/>
  <c r="I24" i="13"/>
  <c r="D25" i="39"/>
  <c r="E25" i="39"/>
  <c r="J103" i="42"/>
  <c r="I30" i="25"/>
  <c r="F105" i="13"/>
  <c r="B105" i="13"/>
  <c r="H24" i="39"/>
  <c r="D23" i="42"/>
  <c r="E23" i="42"/>
  <c r="G25" i="30"/>
  <c r="I25" i="30" s="1"/>
  <c r="D24" i="43"/>
  <c r="E24" i="43"/>
  <c r="G30" i="25"/>
  <c r="D33" i="5"/>
  <c r="E33" i="5"/>
  <c r="I102" i="43"/>
  <c r="H102" i="43"/>
  <c r="F107" i="31"/>
  <c r="B107" i="31"/>
  <c r="D24" i="40"/>
  <c r="E24" i="40"/>
  <c r="I23" i="43"/>
  <c r="D30" i="23"/>
  <c r="E30" i="23"/>
  <c r="I23" i="41"/>
  <c r="E24" i="41"/>
  <c r="D24" i="41"/>
  <c r="G24" i="39"/>
  <c r="D25" i="44"/>
  <c r="E25" i="44"/>
  <c r="H24" i="44"/>
  <c r="H22" i="42"/>
  <c r="D27" i="28"/>
  <c r="E27" i="28"/>
  <c r="H34" i="11"/>
  <c r="I34" i="11" s="1"/>
  <c r="D36" i="9"/>
  <c r="E36" i="9"/>
  <c r="F34" i="6"/>
  <c r="G34" i="6"/>
  <c r="B34" i="6"/>
  <c r="H34" i="6"/>
  <c r="I34" i="6" s="1"/>
  <c r="D33" i="4"/>
  <c r="E33" i="4"/>
  <c r="H28" i="27"/>
  <c r="D29" i="24"/>
  <c r="E29" i="24"/>
  <c r="J102" i="39"/>
  <c r="G32" i="3"/>
  <c r="G23" i="37"/>
  <c r="I23" i="37" s="1"/>
  <c r="I103" i="44"/>
  <c r="H103" i="44"/>
  <c r="I26" i="28"/>
  <c r="D26" i="30"/>
  <c r="E26" i="30"/>
  <c r="B103" i="41"/>
  <c r="F103" i="41"/>
  <c r="D33" i="8"/>
  <c r="E33" i="8"/>
  <c r="H106" i="31"/>
  <c r="I106" i="31"/>
  <c r="I34" i="10"/>
  <c r="E104" i="44"/>
  <c r="F104" i="44" s="1"/>
  <c r="E36" i="7"/>
  <c r="D36" i="7"/>
  <c r="D31" i="22"/>
  <c r="E31" i="22"/>
  <c r="D35" i="11"/>
  <c r="E35" i="11"/>
  <c r="F26" i="31"/>
  <c r="B26" i="31"/>
  <c r="H102" i="41"/>
  <c r="I102" i="41"/>
  <c r="B28" i="29"/>
  <c r="F28" i="29"/>
  <c r="H28" i="29"/>
  <c r="G28" i="29"/>
  <c r="G104" i="42"/>
  <c r="D105" i="42"/>
  <c r="E105" i="42" s="1"/>
  <c r="E104" i="39"/>
  <c r="G103" i="39"/>
  <c r="D104" i="39"/>
  <c r="D29" i="27"/>
  <c r="E29" i="27"/>
  <c r="I29" i="23"/>
  <c r="I23" i="38"/>
  <c r="I32" i="3"/>
  <c r="D23" i="45"/>
  <c r="E23" i="45"/>
  <c r="D24" i="37"/>
  <c r="E24" i="37"/>
  <c r="E115" i="7" l="1"/>
  <c r="G114" i="7"/>
  <c r="D115" i="7"/>
  <c r="E110" i="23"/>
  <c r="G109" i="23"/>
  <c r="D110" i="23"/>
  <c r="E109" i="24"/>
  <c r="G108" i="24"/>
  <c r="D109" i="24"/>
  <c r="E112" i="5"/>
  <c r="D112" i="5"/>
  <c r="G111" i="5"/>
  <c r="G107" i="27"/>
  <c r="D108" i="27"/>
  <c r="E108" i="27"/>
  <c r="G112" i="6"/>
  <c r="D113" i="6"/>
  <c r="E113" i="6"/>
  <c r="G103" i="37"/>
  <c r="E104" i="37"/>
  <c r="D104" i="37"/>
  <c r="E113" i="8"/>
  <c r="D113" i="8"/>
  <c r="G112" i="8"/>
  <c r="D112" i="3"/>
  <c r="G111" i="3"/>
  <c r="E112" i="3"/>
  <c r="G111" i="4"/>
  <c r="E112" i="4"/>
  <c r="D112" i="4"/>
  <c r="J110" i="4"/>
  <c r="J105" i="28"/>
  <c r="J102" i="40"/>
  <c r="J112" i="11"/>
  <c r="J109" i="25"/>
  <c r="G106" i="28"/>
  <c r="D107" i="28"/>
  <c r="E107" i="28"/>
  <c r="E111" i="25"/>
  <c r="G110" i="25"/>
  <c r="D111" i="25"/>
  <c r="F104" i="38"/>
  <c r="B104" i="38"/>
  <c r="G110" i="22"/>
  <c r="D111" i="22"/>
  <c r="E111" i="22"/>
  <c r="J111" i="8"/>
  <c r="J112" i="9"/>
  <c r="G113" i="9"/>
  <c r="E114" i="9"/>
  <c r="D114" i="9"/>
  <c r="D104" i="40"/>
  <c r="G103" i="40"/>
  <c r="E104" i="40"/>
  <c r="E115" i="10"/>
  <c r="D115" i="10"/>
  <c r="G114" i="10"/>
  <c r="D114" i="11"/>
  <c r="G113" i="11"/>
  <c r="E114" i="11"/>
  <c r="J104" i="30"/>
  <c r="J113" i="10"/>
  <c r="D106" i="30"/>
  <c r="E106" i="30"/>
  <c r="G105" i="30"/>
  <c r="J108" i="23"/>
  <c r="J106" i="27"/>
  <c r="J110" i="3"/>
  <c r="H103" i="38"/>
  <c r="I103" i="38"/>
  <c r="I107" i="29"/>
  <c r="H107" i="29"/>
  <c r="B108" i="29"/>
  <c r="F108" i="29"/>
  <c r="D105" i="44"/>
  <c r="G104" i="44"/>
  <c r="I28" i="27"/>
  <c r="B36" i="7"/>
  <c r="F36" i="7"/>
  <c r="H36" i="7" s="1"/>
  <c r="G25" i="13"/>
  <c r="F25" i="13"/>
  <c r="H25" i="13" s="1"/>
  <c r="I25" i="13" s="1"/>
  <c r="B25" i="13"/>
  <c r="B33" i="3"/>
  <c r="G33" i="3"/>
  <c r="F33" i="3"/>
  <c r="D104" i="41"/>
  <c r="G103" i="41"/>
  <c r="E104" i="41"/>
  <c r="B31" i="25"/>
  <c r="F31" i="25"/>
  <c r="G31" i="25" s="1"/>
  <c r="H31" i="25"/>
  <c r="B29" i="27"/>
  <c r="F29" i="27"/>
  <c r="H103" i="39"/>
  <c r="I103" i="39"/>
  <c r="F26" i="30"/>
  <c r="H26" i="30"/>
  <c r="B26" i="30"/>
  <c r="D35" i="6"/>
  <c r="E35" i="6"/>
  <c r="J102" i="43"/>
  <c r="F35" i="10"/>
  <c r="G35" i="10" s="1"/>
  <c r="B35" i="10"/>
  <c r="H35" i="10"/>
  <c r="J102" i="45"/>
  <c r="I28" i="29"/>
  <c r="D108" i="31"/>
  <c r="G107" i="31"/>
  <c r="E108" i="31"/>
  <c r="D104" i="43"/>
  <c r="G103" i="43"/>
  <c r="E104" i="43"/>
  <c r="J104" i="13"/>
  <c r="J102" i="41"/>
  <c r="B25" i="44"/>
  <c r="F25" i="44"/>
  <c r="H25" i="44" s="1"/>
  <c r="B24" i="40"/>
  <c r="F24" i="40"/>
  <c r="G24" i="40" s="1"/>
  <c r="F24" i="43"/>
  <c r="G24" i="43" s="1"/>
  <c r="B24" i="43"/>
  <c r="I24" i="39"/>
  <c r="H24" i="38"/>
  <c r="F24" i="38"/>
  <c r="G24" i="38"/>
  <c r="B24" i="38"/>
  <c r="D27" i="31"/>
  <c r="E27" i="31"/>
  <c r="F24" i="37"/>
  <c r="H24" i="37"/>
  <c r="B24" i="37"/>
  <c r="F104" i="39"/>
  <c r="B104" i="39"/>
  <c r="H27" i="28"/>
  <c r="B27" i="28"/>
  <c r="F27" i="28"/>
  <c r="G27" i="28" s="1"/>
  <c r="G30" i="23"/>
  <c r="B30" i="23"/>
  <c r="F30" i="23"/>
  <c r="H30" i="23"/>
  <c r="B105" i="42"/>
  <c r="F105" i="42"/>
  <c r="G26" i="31"/>
  <c r="B35" i="11"/>
  <c r="F35" i="11"/>
  <c r="G35" i="11" s="1"/>
  <c r="H35" i="11"/>
  <c r="I24" i="44"/>
  <c r="B24" i="41"/>
  <c r="G24" i="41"/>
  <c r="F24" i="41"/>
  <c r="H24" i="41" s="1"/>
  <c r="I24" i="41" s="1"/>
  <c r="B23" i="42"/>
  <c r="F23" i="42"/>
  <c r="G105" i="13"/>
  <c r="D106" i="13"/>
  <c r="E106" i="13" s="1"/>
  <c r="G31" i="22"/>
  <c r="F31" i="22"/>
  <c r="H31" i="22" s="1"/>
  <c r="B31" i="22"/>
  <c r="G23" i="45"/>
  <c r="B23" i="45"/>
  <c r="H23" i="45"/>
  <c r="F23" i="45"/>
  <c r="D29" i="29"/>
  <c r="E29" i="29"/>
  <c r="J106" i="31"/>
  <c r="F33" i="8"/>
  <c r="B33" i="8"/>
  <c r="I22" i="42"/>
  <c r="H33" i="5"/>
  <c r="B33" i="5"/>
  <c r="F33" i="5"/>
  <c r="G33" i="5"/>
  <c r="B25" i="39"/>
  <c r="F25" i="39"/>
  <c r="H25" i="39" s="1"/>
  <c r="I25" i="39" s="1"/>
  <c r="G25" i="39"/>
  <c r="G103" i="45"/>
  <c r="D104" i="45"/>
  <c r="E104" i="45" s="1"/>
  <c r="H104" i="42"/>
  <c r="I104" i="42"/>
  <c r="H26" i="31"/>
  <c r="J103" i="44"/>
  <c r="B29" i="24"/>
  <c r="F29" i="24"/>
  <c r="H29" i="24" s="1"/>
  <c r="I29" i="24" s="1"/>
  <c r="G29" i="24"/>
  <c r="B33" i="4"/>
  <c r="H33" i="4"/>
  <c r="F33" i="4"/>
  <c r="G33" i="4" s="1"/>
  <c r="F36" i="9"/>
  <c r="G36" i="9" s="1"/>
  <c r="H36" i="9"/>
  <c r="B36" i="9"/>
  <c r="J103" i="38" l="1"/>
  <c r="F104" i="40"/>
  <c r="B104" i="40"/>
  <c r="I106" i="28"/>
  <c r="H106" i="28"/>
  <c r="H111" i="5"/>
  <c r="I111" i="5"/>
  <c r="J111" i="5" s="1"/>
  <c r="B106" i="30"/>
  <c r="F106" i="30"/>
  <c r="I113" i="11"/>
  <c r="H113" i="11"/>
  <c r="B114" i="9"/>
  <c r="F114" i="9"/>
  <c r="F113" i="8"/>
  <c r="B113" i="8"/>
  <c r="I103" i="37"/>
  <c r="H103" i="37"/>
  <c r="B112" i="5"/>
  <c r="F112" i="5"/>
  <c r="B115" i="7"/>
  <c r="F115" i="7"/>
  <c r="F115" i="10"/>
  <c r="B115" i="10"/>
  <c r="I110" i="22"/>
  <c r="H110" i="22"/>
  <c r="H111" i="4"/>
  <c r="I111" i="4"/>
  <c r="J111" i="4" s="1"/>
  <c r="F114" i="11"/>
  <c r="B114" i="11"/>
  <c r="D105" i="38"/>
  <c r="E105" i="38"/>
  <c r="G104" i="38"/>
  <c r="F112" i="4"/>
  <c r="B112" i="4"/>
  <c r="I111" i="3"/>
  <c r="H111" i="3"/>
  <c r="F108" i="27"/>
  <c r="B108" i="27"/>
  <c r="B110" i="23"/>
  <c r="F110" i="23"/>
  <c r="I114" i="7"/>
  <c r="J114" i="7" s="1"/>
  <c r="H114" i="7"/>
  <c r="I110" i="25"/>
  <c r="J110" i="25" s="1"/>
  <c r="H110" i="25"/>
  <c r="H112" i="8"/>
  <c r="I112" i="8"/>
  <c r="I112" i="6"/>
  <c r="J112" i="6" s="1"/>
  <c r="H112" i="6"/>
  <c r="H108" i="24"/>
  <c r="I108" i="24"/>
  <c r="H105" i="30"/>
  <c r="I105" i="30"/>
  <c r="J105" i="30" s="1"/>
  <c r="I114" i="10"/>
  <c r="J114" i="10" s="1"/>
  <c r="H114" i="10"/>
  <c r="I103" i="40"/>
  <c r="H103" i="40"/>
  <c r="I113" i="9"/>
  <c r="J113" i="9" s="1"/>
  <c r="H113" i="9"/>
  <c r="B111" i="22"/>
  <c r="F111" i="22"/>
  <c r="B111" i="25"/>
  <c r="F111" i="25"/>
  <c r="B107" i="28"/>
  <c r="F107" i="28"/>
  <c r="B112" i="3"/>
  <c r="F112" i="3"/>
  <c r="F104" i="37"/>
  <c r="B104" i="37"/>
  <c r="B113" i="6"/>
  <c r="F113" i="6"/>
  <c r="I107" i="27"/>
  <c r="J107" i="27" s="1"/>
  <c r="H107" i="27"/>
  <c r="B109" i="24"/>
  <c r="F109" i="24"/>
  <c r="I109" i="23"/>
  <c r="J109" i="23" s="1"/>
  <c r="H109" i="23"/>
  <c r="J107" i="29"/>
  <c r="E109" i="29"/>
  <c r="G108" i="29"/>
  <c r="D109" i="29"/>
  <c r="I31" i="22"/>
  <c r="D34" i="8"/>
  <c r="E34" i="8"/>
  <c r="G29" i="29"/>
  <c r="B29" i="29"/>
  <c r="F29" i="29"/>
  <c r="D24" i="42"/>
  <c r="E24" i="42"/>
  <c r="I30" i="23"/>
  <c r="I27" i="28"/>
  <c r="B27" i="31"/>
  <c r="F27" i="31"/>
  <c r="I26" i="30"/>
  <c r="D30" i="27"/>
  <c r="E30" i="27"/>
  <c r="B104" i="41"/>
  <c r="F104" i="41"/>
  <c r="D24" i="45"/>
  <c r="E24" i="45"/>
  <c r="D106" i="42"/>
  <c r="E106" i="42" s="1"/>
  <c r="G105" i="42"/>
  <c r="D31" i="23"/>
  <c r="E31" i="23"/>
  <c r="D25" i="38"/>
  <c r="E25" i="38"/>
  <c r="H24" i="40"/>
  <c r="I24" i="40" s="1"/>
  <c r="H103" i="43"/>
  <c r="I103" i="43"/>
  <c r="D27" i="30"/>
  <c r="E27" i="30"/>
  <c r="D34" i="3"/>
  <c r="E34" i="3"/>
  <c r="G36" i="7"/>
  <c r="I36" i="7" s="1"/>
  <c r="I35" i="11"/>
  <c r="D25" i="37"/>
  <c r="E25" i="37"/>
  <c r="G25" i="44"/>
  <c r="I25" i="44" s="1"/>
  <c r="H107" i="31"/>
  <c r="I107" i="31"/>
  <c r="J103" i="39"/>
  <c r="H33" i="3"/>
  <c r="B105" i="44"/>
  <c r="I31" i="25"/>
  <c r="D30" i="24"/>
  <c r="E30" i="24"/>
  <c r="F35" i="6"/>
  <c r="H35" i="6" s="1"/>
  <c r="I35" i="6" s="1"/>
  <c r="G35" i="6"/>
  <c r="B35" i="6"/>
  <c r="D32" i="25"/>
  <c r="E32" i="25"/>
  <c r="I104" i="44"/>
  <c r="H104" i="44"/>
  <c r="D37" i="9"/>
  <c r="E37" i="9"/>
  <c r="E34" i="5"/>
  <c r="D34" i="5"/>
  <c r="H105" i="13"/>
  <c r="I105" i="13"/>
  <c r="G24" i="37"/>
  <c r="I24" i="37" s="1"/>
  <c r="B108" i="31"/>
  <c r="F108" i="31"/>
  <c r="E105" i="44"/>
  <c r="F105" i="44" s="1"/>
  <c r="J104" i="42"/>
  <c r="D26" i="39"/>
  <c r="E26" i="39"/>
  <c r="I23" i="45"/>
  <c r="I24" i="38"/>
  <c r="B104" i="43"/>
  <c r="F104" i="43"/>
  <c r="D37" i="7"/>
  <c r="E37" i="7"/>
  <c r="I36" i="9"/>
  <c r="B106" i="13"/>
  <c r="F106" i="13"/>
  <c r="D105" i="39"/>
  <c r="G104" i="39"/>
  <c r="E105" i="39"/>
  <c r="E34" i="4"/>
  <c r="D34" i="4"/>
  <c r="B104" i="45"/>
  <c r="F104" i="45"/>
  <c r="H33" i="8"/>
  <c r="H23" i="42"/>
  <c r="D36" i="11"/>
  <c r="E36" i="11"/>
  <c r="D28" i="28"/>
  <c r="E28" i="28"/>
  <c r="D36" i="10"/>
  <c r="E36" i="10"/>
  <c r="G26" i="30"/>
  <c r="G29" i="27"/>
  <c r="D25" i="43"/>
  <c r="E25" i="43"/>
  <c r="D26" i="44"/>
  <c r="E26" i="44"/>
  <c r="I35" i="10"/>
  <c r="I33" i="4"/>
  <c r="I26" i="31"/>
  <c r="H103" i="45"/>
  <c r="I103" i="45"/>
  <c r="I33" i="5"/>
  <c r="G33" i="8"/>
  <c r="D32" i="22"/>
  <c r="E32" i="22"/>
  <c r="G23" i="42"/>
  <c r="D25" i="41"/>
  <c r="E25" i="41"/>
  <c r="H24" i="43"/>
  <c r="D25" i="40"/>
  <c r="E25" i="40"/>
  <c r="H29" i="27"/>
  <c r="I29" i="27" s="1"/>
  <c r="I103" i="41"/>
  <c r="H103" i="41"/>
  <c r="D26" i="13"/>
  <c r="E26" i="13"/>
  <c r="D109" i="27" l="1"/>
  <c r="G108" i="27"/>
  <c r="E109" i="27"/>
  <c r="D108" i="28"/>
  <c r="G107" i="28"/>
  <c r="E108" i="28"/>
  <c r="E112" i="22"/>
  <c r="D112" i="22"/>
  <c r="G111" i="22"/>
  <c r="D111" i="23"/>
  <c r="E111" i="23"/>
  <c r="G110" i="23"/>
  <c r="I104" i="38"/>
  <c r="H104" i="38"/>
  <c r="D115" i="11"/>
  <c r="G114" i="11"/>
  <c r="E115" i="11"/>
  <c r="J110" i="22"/>
  <c r="J103" i="37"/>
  <c r="J106" i="28"/>
  <c r="E113" i="4"/>
  <c r="D113" i="4"/>
  <c r="G112" i="4"/>
  <c r="E115" i="9"/>
  <c r="D115" i="9"/>
  <c r="G114" i="9"/>
  <c r="E107" i="30"/>
  <c r="G106" i="30"/>
  <c r="D107" i="30"/>
  <c r="D105" i="37"/>
  <c r="E105" i="37"/>
  <c r="G104" i="37"/>
  <c r="J103" i="40"/>
  <c r="J111" i="3"/>
  <c r="G112" i="5"/>
  <c r="D113" i="5"/>
  <c r="E113" i="5"/>
  <c r="G115" i="7"/>
  <c r="D116" i="7"/>
  <c r="E116" i="7"/>
  <c r="J105" i="13"/>
  <c r="E110" i="24"/>
  <c r="D110" i="24"/>
  <c r="G109" i="24"/>
  <c r="G113" i="6"/>
  <c r="D114" i="6"/>
  <c r="E114" i="6"/>
  <c r="E113" i="3"/>
  <c r="G112" i="3"/>
  <c r="D113" i="3"/>
  <c r="D112" i="25"/>
  <c r="E112" i="25"/>
  <c r="G111" i="25"/>
  <c r="J108" i="24"/>
  <c r="J112" i="8"/>
  <c r="F105" i="38"/>
  <c r="B105" i="38"/>
  <c r="D116" i="10"/>
  <c r="E116" i="10"/>
  <c r="G115" i="10"/>
  <c r="E114" i="8"/>
  <c r="D114" i="8"/>
  <c r="G113" i="8"/>
  <c r="J113" i="11"/>
  <c r="G104" i="40"/>
  <c r="E105" i="40"/>
  <c r="D105" i="40"/>
  <c r="J104" i="44"/>
  <c r="B109" i="29"/>
  <c r="F109" i="29"/>
  <c r="I108" i="29"/>
  <c r="H108" i="29"/>
  <c r="F32" i="22"/>
  <c r="H32" i="22"/>
  <c r="B32" i="22"/>
  <c r="G104" i="45"/>
  <c r="D105" i="45"/>
  <c r="B26" i="39"/>
  <c r="F26" i="39"/>
  <c r="D106" i="44"/>
  <c r="G105" i="44"/>
  <c r="B26" i="44"/>
  <c r="F26" i="44"/>
  <c r="H26" i="44"/>
  <c r="G26" i="44"/>
  <c r="F34" i="4"/>
  <c r="H34" i="4" s="1"/>
  <c r="I34" i="4" s="1"/>
  <c r="B34" i="4"/>
  <c r="G34" i="4"/>
  <c r="B105" i="39"/>
  <c r="F105" i="39"/>
  <c r="D105" i="43"/>
  <c r="G104" i="43"/>
  <c r="E105" i="43"/>
  <c r="E109" i="31"/>
  <c r="G108" i="31"/>
  <c r="D109" i="31"/>
  <c r="F32" i="25"/>
  <c r="H32" i="25" s="1"/>
  <c r="B32" i="25"/>
  <c r="I33" i="3"/>
  <c r="J103" i="43"/>
  <c r="F34" i="8"/>
  <c r="H34" i="8"/>
  <c r="B34" i="8"/>
  <c r="J103" i="41"/>
  <c r="J103" i="45"/>
  <c r="G106" i="13"/>
  <c r="D107" i="13"/>
  <c r="E107" i="13" s="1"/>
  <c r="B34" i="5"/>
  <c r="F34" i="5"/>
  <c r="H34" i="5"/>
  <c r="F31" i="23"/>
  <c r="G31" i="23" s="1"/>
  <c r="B31" i="23"/>
  <c r="H31" i="23"/>
  <c r="D105" i="41"/>
  <c r="G104" i="41"/>
  <c r="E105" i="41"/>
  <c r="D28" i="31"/>
  <c r="E28" i="31"/>
  <c r="I24" i="43"/>
  <c r="B37" i="7"/>
  <c r="F37" i="7"/>
  <c r="G37" i="7" s="1"/>
  <c r="B27" i="30"/>
  <c r="H27" i="30"/>
  <c r="F27" i="30"/>
  <c r="G27" i="30"/>
  <c r="F30" i="24"/>
  <c r="H30" i="24"/>
  <c r="B30" i="24"/>
  <c r="I105" i="42"/>
  <c r="H105" i="42"/>
  <c r="G27" i="31"/>
  <c r="B24" i="42"/>
  <c r="F24" i="42"/>
  <c r="F28" i="28"/>
  <c r="G28" i="28"/>
  <c r="H28" i="28"/>
  <c r="I28" i="28" s="1"/>
  <c r="B28" i="28"/>
  <c r="G25" i="43"/>
  <c r="F25" i="43"/>
  <c r="B25" i="43"/>
  <c r="H25" i="43"/>
  <c r="B25" i="41"/>
  <c r="F25" i="41"/>
  <c r="G25" i="41"/>
  <c r="H25" i="41"/>
  <c r="I25" i="41" s="1"/>
  <c r="B36" i="11"/>
  <c r="F36" i="11"/>
  <c r="J107" i="31"/>
  <c r="D30" i="29"/>
  <c r="E30" i="29"/>
  <c r="F25" i="40"/>
  <c r="H25" i="40" s="1"/>
  <c r="B25" i="40"/>
  <c r="B24" i="45"/>
  <c r="F24" i="45"/>
  <c r="G24" i="45"/>
  <c r="H24" i="45"/>
  <c r="I24" i="45" s="1"/>
  <c r="F26" i="13"/>
  <c r="G26" i="13"/>
  <c r="H26" i="13"/>
  <c r="I26" i="13" s="1"/>
  <c r="B26" i="13"/>
  <c r="H104" i="39"/>
  <c r="I104" i="39"/>
  <c r="I23" i="42"/>
  <c r="B37" i="9"/>
  <c r="F37" i="9"/>
  <c r="H37" i="9"/>
  <c r="D36" i="6"/>
  <c r="E36" i="6"/>
  <c r="B25" i="38"/>
  <c r="F25" i="38"/>
  <c r="H25" i="38" s="1"/>
  <c r="F106" i="42"/>
  <c r="B106" i="42"/>
  <c r="B30" i="27"/>
  <c r="F30" i="27"/>
  <c r="G30" i="27"/>
  <c r="H30" i="27"/>
  <c r="I30" i="27" s="1"/>
  <c r="H27" i="31"/>
  <c r="H36" i="10"/>
  <c r="G36" i="10"/>
  <c r="B36" i="10"/>
  <c r="F36" i="10"/>
  <c r="I33" i="8"/>
  <c r="B25" i="37"/>
  <c r="F25" i="37"/>
  <c r="H25" i="37" s="1"/>
  <c r="I25" i="37" s="1"/>
  <c r="G25" i="37"/>
  <c r="B34" i="3"/>
  <c r="F34" i="3"/>
  <c r="G34" i="3"/>
  <c r="H34" i="3"/>
  <c r="I34" i="3" s="1"/>
  <c r="H29" i="29"/>
  <c r="I29" i="29" s="1"/>
  <c r="J104" i="38" l="1"/>
  <c r="I115" i="10"/>
  <c r="H115" i="10"/>
  <c r="H109" i="24"/>
  <c r="I109" i="24"/>
  <c r="J109" i="24" s="1"/>
  <c r="H106" i="30"/>
  <c r="I106" i="30"/>
  <c r="J106" i="30" s="1"/>
  <c r="F108" i="28"/>
  <c r="B108" i="28"/>
  <c r="F105" i="40"/>
  <c r="B105" i="40"/>
  <c r="I113" i="8"/>
  <c r="H113" i="8"/>
  <c r="B112" i="25"/>
  <c r="F112" i="25"/>
  <c r="F110" i="24"/>
  <c r="B110" i="24"/>
  <c r="B116" i="7"/>
  <c r="F116" i="7"/>
  <c r="H112" i="5"/>
  <c r="I112" i="5"/>
  <c r="J112" i="5" s="1"/>
  <c r="I112" i="4"/>
  <c r="J112" i="4" s="1"/>
  <c r="H112" i="4"/>
  <c r="B115" i="11"/>
  <c r="F115" i="11"/>
  <c r="H104" i="37"/>
  <c r="I104" i="37"/>
  <c r="J104" i="37" s="1"/>
  <c r="F112" i="22"/>
  <c r="B112" i="22"/>
  <c r="B114" i="8"/>
  <c r="F114" i="8"/>
  <c r="F116" i="10"/>
  <c r="B116" i="10"/>
  <c r="F113" i="3"/>
  <c r="B113" i="3"/>
  <c r="B114" i="6"/>
  <c r="F114" i="6"/>
  <c r="I115" i="7"/>
  <c r="H115" i="7"/>
  <c r="F105" i="37"/>
  <c r="B105" i="37"/>
  <c r="H114" i="9"/>
  <c r="I114" i="9"/>
  <c r="J114" i="9" s="1"/>
  <c r="B113" i="4"/>
  <c r="F113" i="4"/>
  <c r="B111" i="23"/>
  <c r="F111" i="23"/>
  <c r="H108" i="27"/>
  <c r="I108" i="27"/>
  <c r="J108" i="27" s="1"/>
  <c r="G105" i="38"/>
  <c r="E106" i="38"/>
  <c r="D106" i="38"/>
  <c r="B113" i="5"/>
  <c r="F113" i="5"/>
  <c r="I114" i="11"/>
  <c r="H114" i="11"/>
  <c r="I110" i="23"/>
  <c r="J110" i="23" s="1"/>
  <c r="H110" i="23"/>
  <c r="J104" i="39"/>
  <c r="H104" i="40"/>
  <c r="I104" i="40"/>
  <c r="J104" i="40" s="1"/>
  <c r="H111" i="25"/>
  <c r="I111" i="25"/>
  <c r="J111" i="25" s="1"/>
  <c r="H112" i="3"/>
  <c r="I112" i="3"/>
  <c r="J112" i="3" s="1"/>
  <c r="I113" i="6"/>
  <c r="H113" i="6"/>
  <c r="B107" i="30"/>
  <c r="F107" i="30"/>
  <c r="B115" i="9"/>
  <c r="F115" i="9"/>
  <c r="H111" i="22"/>
  <c r="I111" i="22"/>
  <c r="J111" i="22" s="1"/>
  <c r="I107" i="28"/>
  <c r="J107" i="28" s="1"/>
  <c r="H107" i="28"/>
  <c r="B109" i="27"/>
  <c r="F109" i="27"/>
  <c r="J108" i="29"/>
  <c r="D110" i="29"/>
  <c r="G109" i="29"/>
  <c r="E110" i="29"/>
  <c r="D37" i="11"/>
  <c r="E37" i="11"/>
  <c r="H104" i="45"/>
  <c r="I104" i="45"/>
  <c r="I27" i="31"/>
  <c r="G36" i="11"/>
  <c r="D26" i="41"/>
  <c r="E26" i="41"/>
  <c r="D28" i="30"/>
  <c r="E28" i="30"/>
  <c r="E27" i="44"/>
  <c r="D27" i="44"/>
  <c r="E27" i="39"/>
  <c r="D27" i="39"/>
  <c r="B105" i="41"/>
  <c r="F105" i="41"/>
  <c r="B105" i="45"/>
  <c r="D107" i="42"/>
  <c r="G106" i="42"/>
  <c r="D31" i="24"/>
  <c r="E31" i="24"/>
  <c r="I31" i="23"/>
  <c r="E35" i="5"/>
  <c r="D35" i="5"/>
  <c r="B109" i="31"/>
  <c r="F109" i="31"/>
  <c r="B36" i="6"/>
  <c r="F36" i="6"/>
  <c r="G36" i="6" s="1"/>
  <c r="I27" i="30"/>
  <c r="D25" i="45"/>
  <c r="E25" i="45"/>
  <c r="I25" i="43"/>
  <c r="F107" i="13"/>
  <c r="B107" i="13"/>
  <c r="I104" i="43"/>
  <c r="H104" i="43"/>
  <c r="H26" i="39"/>
  <c r="I26" i="39" s="1"/>
  <c r="B30" i="29"/>
  <c r="F30" i="29"/>
  <c r="H30" i="29"/>
  <c r="G30" i="29"/>
  <c r="D29" i="28"/>
  <c r="E29" i="28"/>
  <c r="H106" i="13"/>
  <c r="I106" i="13"/>
  <c r="D35" i="8"/>
  <c r="E35" i="8"/>
  <c r="B105" i="43"/>
  <c r="F105" i="43"/>
  <c r="G26" i="39"/>
  <c r="D33" i="22"/>
  <c r="E33" i="22"/>
  <c r="D25" i="42"/>
  <c r="E25" i="42"/>
  <c r="D38" i="7"/>
  <c r="E38" i="7"/>
  <c r="I34" i="5"/>
  <c r="H105" i="44"/>
  <c r="I105" i="44"/>
  <c r="G24" i="42"/>
  <c r="B106" i="44"/>
  <c r="D26" i="37"/>
  <c r="E26" i="37"/>
  <c r="I36" i="10"/>
  <c r="D26" i="38"/>
  <c r="E26" i="38"/>
  <c r="D27" i="13"/>
  <c r="D26" i="40"/>
  <c r="E26" i="40"/>
  <c r="H36" i="11"/>
  <c r="G34" i="5"/>
  <c r="H108" i="31"/>
  <c r="I108" i="31"/>
  <c r="I26" i="44"/>
  <c r="E106" i="44"/>
  <c r="F106" i="44" s="1"/>
  <c r="G25" i="38"/>
  <c r="I25" i="38" s="1"/>
  <c r="D38" i="9"/>
  <c r="E38" i="9"/>
  <c r="G25" i="40"/>
  <c r="I25" i="40" s="1"/>
  <c r="D32" i="23"/>
  <c r="E32" i="23"/>
  <c r="D35" i="4"/>
  <c r="E35" i="4"/>
  <c r="J105" i="42"/>
  <c r="B28" i="31"/>
  <c r="G28" i="31"/>
  <c r="H28" i="31"/>
  <c r="I28" i="31" s="1"/>
  <c r="F28" i="31"/>
  <c r="D33" i="25"/>
  <c r="E33" i="25"/>
  <c r="D31" i="27"/>
  <c r="E31" i="27"/>
  <c r="G37" i="9"/>
  <c r="I37" i="9" s="1"/>
  <c r="D35" i="3"/>
  <c r="E35" i="3"/>
  <c r="D37" i="10"/>
  <c r="E37" i="10"/>
  <c r="D26" i="43"/>
  <c r="E26" i="43"/>
  <c r="H24" i="42"/>
  <c r="G30" i="24"/>
  <c r="I30" i="24" s="1"/>
  <c r="H37" i="7"/>
  <c r="I37" i="7" s="1"/>
  <c r="I104" i="41"/>
  <c r="H104" i="41"/>
  <c r="G34" i="8"/>
  <c r="I34" i="8" s="1"/>
  <c r="G32" i="25"/>
  <c r="I32" i="25" s="1"/>
  <c r="D106" i="39"/>
  <c r="G105" i="39"/>
  <c r="E106" i="39"/>
  <c r="E105" i="45"/>
  <c r="F105" i="45" s="1"/>
  <c r="G32" i="22"/>
  <c r="I32" i="22" s="1"/>
  <c r="F106" i="38" l="1"/>
  <c r="B106" i="38"/>
  <c r="G105" i="37"/>
  <c r="D106" i="37"/>
  <c r="E106" i="37"/>
  <c r="D117" i="10"/>
  <c r="G116" i="10"/>
  <c r="E117" i="10"/>
  <c r="G112" i="22"/>
  <c r="D113" i="22"/>
  <c r="E113" i="22"/>
  <c r="D111" i="24"/>
  <c r="E111" i="24"/>
  <c r="G110" i="24"/>
  <c r="J113" i="8"/>
  <c r="D109" i="28"/>
  <c r="G108" i="28"/>
  <c r="E109" i="28"/>
  <c r="D114" i="4"/>
  <c r="E114" i="4"/>
  <c r="G113" i="4"/>
  <c r="G114" i="6"/>
  <c r="E115" i="6"/>
  <c r="D115" i="6"/>
  <c r="J108" i="31"/>
  <c r="E116" i="9"/>
  <c r="D116" i="9"/>
  <c r="G115" i="9"/>
  <c r="J114" i="11"/>
  <c r="G111" i="23"/>
  <c r="D112" i="23"/>
  <c r="E112" i="23"/>
  <c r="G114" i="8"/>
  <c r="D115" i="8"/>
  <c r="E115" i="8"/>
  <c r="G116" i="7"/>
  <c r="E117" i="7"/>
  <c r="D117" i="7"/>
  <c r="G112" i="25"/>
  <c r="E113" i="25"/>
  <c r="D113" i="25"/>
  <c r="E110" i="27"/>
  <c r="D110" i="27"/>
  <c r="G109" i="27"/>
  <c r="E108" i="30"/>
  <c r="D108" i="30"/>
  <c r="G107" i="30"/>
  <c r="D116" i="11"/>
  <c r="G115" i="11"/>
  <c r="E116" i="11"/>
  <c r="J113" i="6"/>
  <c r="D114" i="5"/>
  <c r="G113" i="5"/>
  <c r="E114" i="5"/>
  <c r="I105" i="38"/>
  <c r="H105" i="38"/>
  <c r="J115" i="7"/>
  <c r="E114" i="3"/>
  <c r="D114" i="3"/>
  <c r="G113" i="3"/>
  <c r="E106" i="40"/>
  <c r="G105" i="40"/>
  <c r="D106" i="40"/>
  <c r="J115" i="10"/>
  <c r="F110" i="29"/>
  <c r="B110" i="29"/>
  <c r="H109" i="29"/>
  <c r="I109" i="29"/>
  <c r="J109" i="29" s="1"/>
  <c r="J105" i="44"/>
  <c r="G105" i="45"/>
  <c r="D106" i="45"/>
  <c r="E106" i="45" s="1"/>
  <c r="D107" i="44"/>
  <c r="E107" i="44"/>
  <c r="G106" i="44"/>
  <c r="F26" i="41"/>
  <c r="H26" i="41"/>
  <c r="B26" i="41"/>
  <c r="F31" i="27"/>
  <c r="G31" i="27" s="1"/>
  <c r="H31" i="27"/>
  <c r="B31" i="27"/>
  <c r="I36" i="11"/>
  <c r="F38" i="7"/>
  <c r="H38" i="7"/>
  <c r="B38" i="7"/>
  <c r="D106" i="43"/>
  <c r="G105" i="43"/>
  <c r="E106" i="43"/>
  <c r="H36" i="6"/>
  <c r="I36" i="6" s="1"/>
  <c r="F35" i="5"/>
  <c r="G35" i="5"/>
  <c r="B35" i="5"/>
  <c r="H35" i="4"/>
  <c r="B35" i="4"/>
  <c r="F35" i="4"/>
  <c r="G35" i="4" s="1"/>
  <c r="G38" i="9"/>
  <c r="H38" i="9"/>
  <c r="I38" i="9" s="1"/>
  <c r="B38" i="9"/>
  <c r="F38" i="9"/>
  <c r="B27" i="39"/>
  <c r="F27" i="39"/>
  <c r="G27" i="39"/>
  <c r="I24" i="42"/>
  <c r="F26" i="37"/>
  <c r="H26" i="37"/>
  <c r="B26" i="37"/>
  <c r="G26" i="37"/>
  <c r="B27" i="44"/>
  <c r="G27" i="44"/>
  <c r="H27" i="44"/>
  <c r="I27" i="44" s="1"/>
  <c r="F27" i="44"/>
  <c r="F26" i="40"/>
  <c r="H26" i="40"/>
  <c r="G26" i="40"/>
  <c r="B26" i="40"/>
  <c r="F25" i="42"/>
  <c r="G25" i="42" s="1"/>
  <c r="B25" i="42"/>
  <c r="G107" i="13"/>
  <c r="D108" i="13"/>
  <c r="E108" i="13" s="1"/>
  <c r="G105" i="41"/>
  <c r="D106" i="41"/>
  <c r="E106" i="41"/>
  <c r="I106" i="42"/>
  <c r="H106" i="42"/>
  <c r="B107" i="42"/>
  <c r="H25" i="45"/>
  <c r="B25" i="45"/>
  <c r="F25" i="45"/>
  <c r="E107" i="42"/>
  <c r="F107" i="42" s="1"/>
  <c r="B26" i="43"/>
  <c r="F26" i="43"/>
  <c r="B35" i="3"/>
  <c r="F35" i="3"/>
  <c r="B33" i="25"/>
  <c r="F33" i="25"/>
  <c r="G33" i="25"/>
  <c r="B27" i="13"/>
  <c r="F33" i="22"/>
  <c r="H33" i="22"/>
  <c r="B33" i="22"/>
  <c r="G33" i="22"/>
  <c r="F35" i="8"/>
  <c r="G35" i="8" s="1"/>
  <c r="H35" i="8"/>
  <c r="B35" i="8"/>
  <c r="I30" i="29"/>
  <c r="B106" i="39"/>
  <c r="F106" i="39"/>
  <c r="J104" i="41"/>
  <c r="B26" i="38"/>
  <c r="F26" i="38"/>
  <c r="H26" i="38" s="1"/>
  <c r="F32" i="23"/>
  <c r="G32" i="23" s="1"/>
  <c r="B32" i="23"/>
  <c r="F29" i="28"/>
  <c r="G29" i="28"/>
  <c r="H29" i="28"/>
  <c r="I29" i="28" s="1"/>
  <c r="B29" i="28"/>
  <c r="J104" i="43"/>
  <c r="H37" i="11"/>
  <c r="G37" i="11"/>
  <c r="B37" i="11"/>
  <c r="F37" i="11"/>
  <c r="B37" i="10"/>
  <c r="F37" i="10"/>
  <c r="G37" i="10" s="1"/>
  <c r="D37" i="6"/>
  <c r="E37" i="6"/>
  <c r="H105" i="39"/>
  <c r="I105" i="39"/>
  <c r="J105" i="39" s="1"/>
  <c r="D29" i="31"/>
  <c r="E29" i="31"/>
  <c r="E27" i="13"/>
  <c r="F27" i="13" s="1"/>
  <c r="J106" i="13"/>
  <c r="D31" i="29"/>
  <c r="E31" i="29"/>
  <c r="G109" i="31"/>
  <c r="E110" i="31"/>
  <c r="D110" i="31"/>
  <c r="F31" i="24"/>
  <c r="G31" i="24" s="1"/>
  <c r="B31" i="24"/>
  <c r="F28" i="30"/>
  <c r="G28" i="30"/>
  <c r="H28" i="30"/>
  <c r="I28" i="30" s="1"/>
  <c r="B28" i="30"/>
  <c r="J104" i="45"/>
  <c r="H113" i="3" l="1"/>
  <c r="I113" i="3"/>
  <c r="J113" i="3" s="1"/>
  <c r="B114" i="5"/>
  <c r="F114" i="5"/>
  <c r="F116" i="11"/>
  <c r="B116" i="11"/>
  <c r="I109" i="27"/>
  <c r="J109" i="27" s="1"/>
  <c r="H109" i="27"/>
  <c r="I116" i="7"/>
  <c r="H116" i="7"/>
  <c r="H115" i="9"/>
  <c r="I115" i="9"/>
  <c r="B115" i="6"/>
  <c r="F115" i="6"/>
  <c r="F109" i="28"/>
  <c r="B109" i="28"/>
  <c r="F111" i="24"/>
  <c r="B111" i="24"/>
  <c r="B106" i="37"/>
  <c r="F106" i="37"/>
  <c r="F106" i="40"/>
  <c r="B106" i="40"/>
  <c r="B114" i="3"/>
  <c r="F114" i="3"/>
  <c r="J105" i="38"/>
  <c r="I107" i="30"/>
  <c r="H107" i="30"/>
  <c r="B110" i="27"/>
  <c r="F110" i="27"/>
  <c r="I112" i="25"/>
  <c r="H112" i="25"/>
  <c r="B112" i="23"/>
  <c r="F112" i="23"/>
  <c r="B116" i="9"/>
  <c r="F116" i="9"/>
  <c r="F114" i="4"/>
  <c r="B114" i="4"/>
  <c r="H116" i="10"/>
  <c r="I116" i="10"/>
  <c r="J116" i="10" s="1"/>
  <c r="I105" i="37"/>
  <c r="J105" i="37" s="1"/>
  <c r="H105" i="37"/>
  <c r="H105" i="40"/>
  <c r="I105" i="40"/>
  <c r="J105" i="40" s="1"/>
  <c r="B108" i="30"/>
  <c r="F108" i="30"/>
  <c r="B117" i="7"/>
  <c r="F117" i="7"/>
  <c r="F115" i="8"/>
  <c r="B115" i="8"/>
  <c r="H111" i="23"/>
  <c r="I111" i="23"/>
  <c r="I114" i="6"/>
  <c r="J114" i="6" s="1"/>
  <c r="H114" i="6"/>
  <c r="I110" i="24"/>
  <c r="H110" i="24"/>
  <c r="B113" i="22"/>
  <c r="F113" i="22"/>
  <c r="F117" i="10"/>
  <c r="B117" i="10"/>
  <c r="H113" i="5"/>
  <c r="I113" i="5"/>
  <c r="I115" i="11"/>
  <c r="H115" i="11"/>
  <c r="F113" i="25"/>
  <c r="B113" i="25"/>
  <c r="H114" i="8"/>
  <c r="I114" i="8"/>
  <c r="J114" i="8" s="1"/>
  <c r="I113" i="4"/>
  <c r="J113" i="4" s="1"/>
  <c r="H113" i="4"/>
  <c r="I108" i="28"/>
  <c r="H108" i="28"/>
  <c r="I112" i="22"/>
  <c r="J112" i="22" s="1"/>
  <c r="H112" i="22"/>
  <c r="G106" i="38"/>
  <c r="D107" i="38"/>
  <c r="E107" i="38"/>
  <c r="G110" i="29"/>
  <c r="E111" i="29"/>
  <c r="D111" i="29"/>
  <c r="D28" i="13"/>
  <c r="G27" i="13"/>
  <c r="H27" i="13"/>
  <c r="I27" i="13" s="1"/>
  <c r="I26" i="40"/>
  <c r="D28" i="39"/>
  <c r="E28" i="39"/>
  <c r="D39" i="7"/>
  <c r="E39" i="7"/>
  <c r="D27" i="41"/>
  <c r="E27" i="41"/>
  <c r="J106" i="42"/>
  <c r="E107" i="39"/>
  <c r="G106" i="39"/>
  <c r="D107" i="39"/>
  <c r="D34" i="25"/>
  <c r="E34" i="25"/>
  <c r="I26" i="37"/>
  <c r="H27" i="39"/>
  <c r="I27" i="39" s="1"/>
  <c r="D36" i="5"/>
  <c r="E36" i="5"/>
  <c r="B106" i="43"/>
  <c r="F106" i="43"/>
  <c r="B110" i="31"/>
  <c r="F110" i="31"/>
  <c r="B108" i="13"/>
  <c r="F108" i="13"/>
  <c r="H109" i="31"/>
  <c r="I109" i="31"/>
  <c r="J109" i="31" s="1"/>
  <c r="H37" i="10"/>
  <c r="I37" i="10" s="1"/>
  <c r="E27" i="43"/>
  <c r="D27" i="43"/>
  <c r="I105" i="43"/>
  <c r="H105" i="43"/>
  <c r="I106" i="44"/>
  <c r="H106" i="44"/>
  <c r="B29" i="31"/>
  <c r="F29" i="31"/>
  <c r="G29" i="31"/>
  <c r="H29" i="31"/>
  <c r="I29" i="31" s="1"/>
  <c r="D38" i="11"/>
  <c r="E38" i="11"/>
  <c r="D30" i="28"/>
  <c r="E30" i="28"/>
  <c r="G26" i="38"/>
  <c r="I26" i="38" s="1"/>
  <c r="H33" i="25"/>
  <c r="I33" i="25" s="1"/>
  <c r="G26" i="43"/>
  <c r="H25" i="42"/>
  <c r="I25" i="42" s="1"/>
  <c r="D27" i="37"/>
  <c r="E27" i="37"/>
  <c r="H35" i="5"/>
  <c r="I35" i="5" s="1"/>
  <c r="B107" i="44"/>
  <c r="F107" i="44"/>
  <c r="D32" i="27"/>
  <c r="E32" i="27"/>
  <c r="D29" i="30"/>
  <c r="E29" i="30"/>
  <c r="D34" i="22"/>
  <c r="E34" i="22"/>
  <c r="H26" i="43"/>
  <c r="I26" i="43" s="1"/>
  <c r="G107" i="42"/>
  <c r="D108" i="42"/>
  <c r="E28" i="44"/>
  <c r="D28" i="44"/>
  <c r="E36" i="4"/>
  <c r="D36" i="4"/>
  <c r="E33" i="23"/>
  <c r="D33" i="23"/>
  <c r="D36" i="3"/>
  <c r="E36" i="3"/>
  <c r="I31" i="27"/>
  <c r="I107" i="13"/>
  <c r="H107" i="13"/>
  <c r="D32" i="24"/>
  <c r="E32" i="24"/>
  <c r="H32" i="23"/>
  <c r="I32" i="23" s="1"/>
  <c r="D27" i="38"/>
  <c r="E27" i="38"/>
  <c r="I35" i="8"/>
  <c r="G35" i="3"/>
  <c r="D26" i="45"/>
  <c r="E26" i="45"/>
  <c r="F106" i="41"/>
  <c r="B106" i="41"/>
  <c r="D26" i="42"/>
  <c r="E26" i="42"/>
  <c r="D39" i="9"/>
  <c r="E39" i="9"/>
  <c r="G38" i="7"/>
  <c r="I38" i="7" s="1"/>
  <c r="B106" i="45"/>
  <c r="F106" i="45"/>
  <c r="D38" i="10"/>
  <c r="E38" i="10"/>
  <c r="I33" i="22"/>
  <c r="D27" i="40"/>
  <c r="E27" i="40"/>
  <c r="F31" i="29"/>
  <c r="G31" i="29" s="1"/>
  <c r="B31" i="29"/>
  <c r="H31" i="24"/>
  <c r="I31" i="24" s="1"/>
  <c r="F37" i="6"/>
  <c r="G37" i="6"/>
  <c r="H37" i="6"/>
  <c r="I37" i="6" s="1"/>
  <c r="B37" i="6"/>
  <c r="I37" i="11"/>
  <c r="D36" i="8"/>
  <c r="E36" i="8"/>
  <c r="H35" i="3"/>
  <c r="G25" i="45"/>
  <c r="I25" i="45" s="1"/>
  <c r="I105" i="41"/>
  <c r="H105" i="41"/>
  <c r="I35" i="4"/>
  <c r="G26" i="41"/>
  <c r="I26" i="41" s="1"/>
  <c r="H105" i="45"/>
  <c r="I105" i="45"/>
  <c r="D114" i="25" l="1"/>
  <c r="E114" i="25"/>
  <c r="G113" i="25"/>
  <c r="D116" i="8"/>
  <c r="E116" i="8"/>
  <c r="G115" i="8"/>
  <c r="G114" i="4"/>
  <c r="D115" i="4"/>
  <c r="E115" i="4"/>
  <c r="G114" i="3"/>
  <c r="E115" i="3"/>
  <c r="D115" i="3"/>
  <c r="D107" i="37"/>
  <c r="E107" i="37"/>
  <c r="G106" i="37"/>
  <c r="J115" i="9"/>
  <c r="E115" i="5"/>
  <c r="G114" i="5"/>
  <c r="D115" i="5"/>
  <c r="B107" i="38"/>
  <c r="F107" i="38"/>
  <c r="J111" i="23"/>
  <c r="D118" i="7"/>
  <c r="E118" i="7"/>
  <c r="G117" i="7"/>
  <c r="E117" i="9"/>
  <c r="D117" i="9"/>
  <c r="G116" i="9"/>
  <c r="E110" i="28"/>
  <c r="G109" i="28"/>
  <c r="D110" i="28"/>
  <c r="J105" i="45"/>
  <c r="I106" i="38"/>
  <c r="H106" i="38"/>
  <c r="J108" i="28"/>
  <c r="J115" i="11"/>
  <c r="D118" i="10"/>
  <c r="G117" i="10"/>
  <c r="E118" i="10"/>
  <c r="J110" i="24"/>
  <c r="J112" i="25"/>
  <c r="J107" i="30"/>
  <c r="D116" i="6"/>
  <c r="E116" i="6"/>
  <c r="G115" i="6"/>
  <c r="J113" i="5"/>
  <c r="G113" i="22"/>
  <c r="D114" i="22"/>
  <c r="E114" i="22"/>
  <c r="D109" i="30"/>
  <c r="E109" i="30"/>
  <c r="G108" i="30"/>
  <c r="D113" i="23"/>
  <c r="G112" i="23"/>
  <c r="E113" i="23"/>
  <c r="D111" i="27"/>
  <c r="E111" i="27"/>
  <c r="G110" i="27"/>
  <c r="G106" i="40"/>
  <c r="D107" i="40"/>
  <c r="E107" i="40"/>
  <c r="G111" i="24"/>
  <c r="D112" i="24"/>
  <c r="E112" i="24"/>
  <c r="J116" i="7"/>
  <c r="D117" i="11"/>
  <c r="G116" i="11"/>
  <c r="E117" i="11"/>
  <c r="B111" i="29"/>
  <c r="F111" i="29"/>
  <c r="H110" i="29"/>
  <c r="I110" i="29"/>
  <c r="D107" i="41"/>
  <c r="G106" i="41"/>
  <c r="E107" i="41"/>
  <c r="J107" i="13"/>
  <c r="F38" i="11"/>
  <c r="G38" i="11"/>
  <c r="H38" i="11"/>
  <c r="I38" i="11" s="1"/>
  <c r="B38" i="11"/>
  <c r="G27" i="37"/>
  <c r="B27" i="37"/>
  <c r="F27" i="37"/>
  <c r="H27" i="37"/>
  <c r="D111" i="31"/>
  <c r="G110" i="31"/>
  <c r="E111" i="31"/>
  <c r="D32" i="29"/>
  <c r="E32" i="29"/>
  <c r="B38" i="10"/>
  <c r="F38" i="10"/>
  <c r="H38" i="10" s="1"/>
  <c r="I38" i="10" s="1"/>
  <c r="G38" i="10"/>
  <c r="F26" i="45"/>
  <c r="H26" i="45"/>
  <c r="G26" i="45"/>
  <c r="B26" i="45"/>
  <c r="G29" i="30"/>
  <c r="B29" i="30"/>
  <c r="F29" i="30"/>
  <c r="H29" i="30"/>
  <c r="J105" i="43"/>
  <c r="H27" i="41"/>
  <c r="I27" i="41" s="1"/>
  <c r="B27" i="41"/>
  <c r="F27" i="41"/>
  <c r="G27" i="41"/>
  <c r="B33" i="23"/>
  <c r="F33" i="23"/>
  <c r="H33" i="23"/>
  <c r="B36" i="5"/>
  <c r="H36" i="5"/>
  <c r="F36" i="5"/>
  <c r="J106" i="44"/>
  <c r="I35" i="3"/>
  <c r="H31" i="29"/>
  <c r="I31" i="29" s="1"/>
  <c r="G106" i="45"/>
  <c r="D107" i="45"/>
  <c r="E107" i="45" s="1"/>
  <c r="F27" i="38"/>
  <c r="G27" i="38"/>
  <c r="B27" i="38"/>
  <c r="H27" i="38"/>
  <c r="I27" i="38" s="1"/>
  <c r="G36" i="4"/>
  <c r="B36" i="4"/>
  <c r="F36" i="4"/>
  <c r="H36" i="4"/>
  <c r="D30" i="31"/>
  <c r="E30" i="31"/>
  <c r="G27" i="43"/>
  <c r="B27" i="43"/>
  <c r="F27" i="43"/>
  <c r="G107" i="44"/>
  <c r="D108" i="44"/>
  <c r="E108" i="44" s="1"/>
  <c r="H106" i="39"/>
  <c r="I106" i="39"/>
  <c r="F34" i="22"/>
  <c r="B34" i="22"/>
  <c r="E38" i="6"/>
  <c r="D38" i="6"/>
  <c r="F39" i="9"/>
  <c r="B39" i="9"/>
  <c r="F36" i="3"/>
  <c r="H36" i="3"/>
  <c r="B36" i="3"/>
  <c r="B108" i="42"/>
  <c r="H32" i="27"/>
  <c r="F32" i="27"/>
  <c r="B32" i="27"/>
  <c r="G32" i="27"/>
  <c r="D107" i="43"/>
  <c r="G106" i="43"/>
  <c r="E107" i="43"/>
  <c r="B39" i="7"/>
  <c r="F39" i="7"/>
  <c r="G39" i="7" s="1"/>
  <c r="H39" i="7"/>
  <c r="F28" i="13"/>
  <c r="B28" i="13"/>
  <c r="B28" i="44"/>
  <c r="H28" i="44"/>
  <c r="F28" i="44"/>
  <c r="G28" i="44"/>
  <c r="F36" i="8"/>
  <c r="G36" i="8"/>
  <c r="H36" i="8"/>
  <c r="I36" i="8" s="1"/>
  <c r="B36" i="8"/>
  <c r="F27" i="40"/>
  <c r="H27" i="40" s="1"/>
  <c r="I27" i="40" s="1"/>
  <c r="B27" i="40"/>
  <c r="G27" i="40"/>
  <c r="E108" i="42"/>
  <c r="F108" i="42" s="1"/>
  <c r="H30" i="28"/>
  <c r="I30" i="28" s="1"/>
  <c r="F30" i="28"/>
  <c r="B30" i="28"/>
  <c r="G30" i="28"/>
  <c r="B34" i="25"/>
  <c r="F34" i="25"/>
  <c r="G34" i="25" s="1"/>
  <c r="H34" i="25"/>
  <c r="E28" i="13"/>
  <c r="J105" i="41"/>
  <c r="B26" i="42"/>
  <c r="F26" i="42"/>
  <c r="G26" i="42"/>
  <c r="B32" i="24"/>
  <c r="F32" i="24"/>
  <c r="G32" i="24"/>
  <c r="H32" i="24"/>
  <c r="I32" i="24" s="1"/>
  <c r="I107" i="42"/>
  <c r="H107" i="42"/>
  <c r="G108" i="13"/>
  <c r="D109" i="13"/>
  <c r="E109" i="13" s="1"/>
  <c r="F107" i="39"/>
  <c r="B107" i="39"/>
  <c r="F28" i="39"/>
  <c r="G28" i="39" s="1"/>
  <c r="B28" i="39"/>
  <c r="F107" i="40" l="1"/>
  <c r="B107" i="40"/>
  <c r="F111" i="27"/>
  <c r="B111" i="27"/>
  <c r="H108" i="30"/>
  <c r="I108" i="30"/>
  <c r="J108" i="30" s="1"/>
  <c r="F114" i="22"/>
  <c r="B114" i="22"/>
  <c r="I116" i="9"/>
  <c r="H116" i="9"/>
  <c r="F115" i="3"/>
  <c r="B115" i="3"/>
  <c r="B115" i="4"/>
  <c r="F115" i="4"/>
  <c r="B116" i="8"/>
  <c r="F116" i="8"/>
  <c r="H116" i="11"/>
  <c r="I116" i="11"/>
  <c r="J116" i="11" s="1"/>
  <c r="B112" i="24"/>
  <c r="F112" i="24"/>
  <c r="H106" i="40"/>
  <c r="I106" i="40"/>
  <c r="J106" i="40" s="1"/>
  <c r="H113" i="22"/>
  <c r="I113" i="22"/>
  <c r="J113" i="22" s="1"/>
  <c r="B116" i="6"/>
  <c r="F116" i="6"/>
  <c r="B110" i="28"/>
  <c r="F110" i="28"/>
  <c r="B117" i="9"/>
  <c r="F117" i="9"/>
  <c r="F118" i="7"/>
  <c r="B118" i="7"/>
  <c r="B115" i="5"/>
  <c r="F115" i="5"/>
  <c r="I106" i="37"/>
  <c r="H106" i="37"/>
  <c r="H114" i="4"/>
  <c r="I114" i="4"/>
  <c r="J114" i="4" s="1"/>
  <c r="I113" i="25"/>
  <c r="H113" i="25"/>
  <c r="J110" i="29"/>
  <c r="B117" i="11"/>
  <c r="F117" i="11"/>
  <c r="H111" i="24"/>
  <c r="I111" i="24"/>
  <c r="H110" i="27"/>
  <c r="I110" i="27"/>
  <c r="J110" i="27" s="1"/>
  <c r="H112" i="23"/>
  <c r="I112" i="23"/>
  <c r="F109" i="30"/>
  <c r="B109" i="30"/>
  <c r="H117" i="10"/>
  <c r="I117" i="10"/>
  <c r="I109" i="28"/>
  <c r="H109" i="28"/>
  <c r="I114" i="5"/>
  <c r="J114" i="5" s="1"/>
  <c r="H114" i="5"/>
  <c r="H114" i="3"/>
  <c r="I114" i="3"/>
  <c r="J114" i="3" s="1"/>
  <c r="I115" i="8"/>
  <c r="J115" i="8" s="1"/>
  <c r="H115" i="8"/>
  <c r="B113" i="23"/>
  <c r="F113" i="23"/>
  <c r="I115" i="6"/>
  <c r="J115" i="6" s="1"/>
  <c r="H115" i="6"/>
  <c r="B118" i="10"/>
  <c r="F118" i="10"/>
  <c r="J106" i="38"/>
  <c r="H117" i="7"/>
  <c r="I117" i="7"/>
  <c r="J117" i="7" s="1"/>
  <c r="E108" i="38"/>
  <c r="G107" i="38"/>
  <c r="D108" i="38"/>
  <c r="F107" i="37"/>
  <c r="B107" i="37"/>
  <c r="F114" i="25"/>
  <c r="B114" i="25"/>
  <c r="G111" i="29"/>
  <c r="D112" i="29"/>
  <c r="E112" i="29"/>
  <c r="J106" i="39"/>
  <c r="G108" i="42"/>
  <c r="D109" i="42"/>
  <c r="E109" i="42" s="1"/>
  <c r="H106" i="43"/>
  <c r="I106" i="43"/>
  <c r="J106" i="43" s="1"/>
  <c r="H30" i="31"/>
  <c r="I30" i="31" s="1"/>
  <c r="G30" i="31"/>
  <c r="B30" i="31"/>
  <c r="F30" i="31"/>
  <c r="I39" i="7"/>
  <c r="I36" i="3"/>
  <c r="I26" i="45"/>
  <c r="B109" i="13"/>
  <c r="F109" i="13"/>
  <c r="F32" i="29"/>
  <c r="B32" i="29"/>
  <c r="H108" i="13"/>
  <c r="I108" i="13"/>
  <c r="D37" i="8"/>
  <c r="E37" i="8"/>
  <c r="D33" i="27"/>
  <c r="E33" i="27"/>
  <c r="D28" i="43"/>
  <c r="E28" i="43"/>
  <c r="E34" i="23"/>
  <c r="D34" i="23"/>
  <c r="D35" i="22"/>
  <c r="E35" i="22"/>
  <c r="H106" i="45"/>
  <c r="I106" i="45"/>
  <c r="J106" i="45" s="1"/>
  <c r="D27" i="42"/>
  <c r="E27" i="42"/>
  <c r="D33" i="24"/>
  <c r="E33" i="24"/>
  <c r="D27" i="45"/>
  <c r="E27" i="45"/>
  <c r="I34" i="25"/>
  <c r="I32" i="27"/>
  <c r="B108" i="44"/>
  <c r="F108" i="44"/>
  <c r="H110" i="31"/>
  <c r="I110" i="31"/>
  <c r="J110" i="31" s="1"/>
  <c r="D29" i="13"/>
  <c r="E29" i="13" s="1"/>
  <c r="D40" i="9"/>
  <c r="E40" i="9"/>
  <c r="J107" i="42"/>
  <c r="D31" i="28"/>
  <c r="E31" i="28"/>
  <c r="E29" i="44"/>
  <c r="D29" i="44"/>
  <c r="G28" i="13"/>
  <c r="H107" i="44"/>
  <c r="I107" i="44"/>
  <c r="H27" i="43"/>
  <c r="I27" i="43" s="1"/>
  <c r="D28" i="38"/>
  <c r="E28" i="38"/>
  <c r="G33" i="23"/>
  <c r="I33" i="23" s="1"/>
  <c r="B111" i="31"/>
  <c r="F111" i="31"/>
  <c r="D39" i="11"/>
  <c r="E39" i="11"/>
  <c r="B107" i="43"/>
  <c r="F107" i="43"/>
  <c r="D40" i="7"/>
  <c r="E40" i="7"/>
  <c r="D37" i="3"/>
  <c r="E37" i="3"/>
  <c r="D35" i="25"/>
  <c r="E35" i="25"/>
  <c r="I28" i="44"/>
  <c r="H28" i="13"/>
  <c r="H39" i="9"/>
  <c r="H34" i="22"/>
  <c r="I36" i="4"/>
  <c r="D37" i="5"/>
  <c r="E37" i="5"/>
  <c r="I29" i="30"/>
  <c r="I27" i="37"/>
  <c r="H106" i="41"/>
  <c r="I106" i="41"/>
  <c r="E108" i="39"/>
  <c r="G107" i="39"/>
  <c r="D108" i="39"/>
  <c r="F38" i="6"/>
  <c r="H38" i="6" s="1"/>
  <c r="I38" i="6" s="1"/>
  <c r="G38" i="6"/>
  <c r="B38" i="6"/>
  <c r="D29" i="39"/>
  <c r="E29" i="39"/>
  <c r="H28" i="39"/>
  <c r="I28" i="39" s="1"/>
  <c r="H26" i="42"/>
  <c r="I26" i="42" s="1"/>
  <c r="D28" i="40"/>
  <c r="E28" i="40"/>
  <c r="G36" i="3"/>
  <c r="G39" i="9"/>
  <c r="G34" i="22"/>
  <c r="E37" i="4"/>
  <c r="D37" i="4"/>
  <c r="B107" i="45"/>
  <c r="F107" i="45"/>
  <c r="G36" i="5"/>
  <c r="I36" i="5" s="1"/>
  <c r="E28" i="41"/>
  <c r="D28" i="41"/>
  <c r="D30" i="30"/>
  <c r="E30" i="30"/>
  <c r="D39" i="10"/>
  <c r="E39" i="10"/>
  <c r="D28" i="37"/>
  <c r="E28" i="37"/>
  <c r="B107" i="41"/>
  <c r="F107" i="41"/>
  <c r="D115" i="25" l="1"/>
  <c r="G114" i="25"/>
  <c r="E115" i="25"/>
  <c r="H107" i="38"/>
  <c r="I107" i="38"/>
  <c r="J107" i="38" s="1"/>
  <c r="G110" i="28"/>
  <c r="E111" i="28"/>
  <c r="D111" i="28"/>
  <c r="D113" i="24"/>
  <c r="E113" i="24"/>
  <c r="G112" i="24"/>
  <c r="G116" i="8"/>
  <c r="E117" i="8"/>
  <c r="D117" i="8"/>
  <c r="E119" i="10"/>
  <c r="D119" i="10"/>
  <c r="G118" i="10"/>
  <c r="D114" i="23"/>
  <c r="E114" i="23"/>
  <c r="G113" i="23"/>
  <c r="G117" i="11"/>
  <c r="D118" i="11"/>
  <c r="E118" i="11"/>
  <c r="J113" i="25"/>
  <c r="J106" i="37"/>
  <c r="E119" i="7"/>
  <c r="D119" i="7"/>
  <c r="G118" i="7"/>
  <c r="G115" i="3"/>
  <c r="D116" i="3"/>
  <c r="E116" i="3"/>
  <c r="G114" i="22"/>
  <c r="E115" i="22"/>
  <c r="D115" i="22"/>
  <c r="D112" i="27"/>
  <c r="E112" i="27"/>
  <c r="G111" i="27"/>
  <c r="D108" i="37"/>
  <c r="G107" i="37"/>
  <c r="E108" i="37"/>
  <c r="J109" i="28"/>
  <c r="E110" i="30"/>
  <c r="G109" i="30"/>
  <c r="D110" i="30"/>
  <c r="D116" i="5"/>
  <c r="E116" i="5"/>
  <c r="G115" i="5"/>
  <c r="G117" i="9"/>
  <c r="E118" i="9"/>
  <c r="D118" i="9"/>
  <c r="D117" i="6"/>
  <c r="E117" i="6"/>
  <c r="G116" i="6"/>
  <c r="E116" i="4"/>
  <c r="G115" i="4"/>
  <c r="D116" i="4"/>
  <c r="J108" i="13"/>
  <c r="B108" i="38"/>
  <c r="F108" i="38"/>
  <c r="J117" i="10"/>
  <c r="J112" i="23"/>
  <c r="J111" i="24"/>
  <c r="J116" i="9"/>
  <c r="E108" i="40"/>
  <c r="G107" i="40"/>
  <c r="D108" i="40"/>
  <c r="J107" i="44"/>
  <c r="B112" i="29"/>
  <c r="F112" i="29"/>
  <c r="H111" i="29"/>
  <c r="I111" i="29"/>
  <c r="B35" i="25"/>
  <c r="H35" i="25"/>
  <c r="I35" i="25" s="1"/>
  <c r="G35" i="25"/>
  <c r="F35" i="25"/>
  <c r="F33" i="24"/>
  <c r="G33" i="24" s="1"/>
  <c r="B33" i="24"/>
  <c r="B28" i="37"/>
  <c r="H28" i="37"/>
  <c r="F28" i="37"/>
  <c r="G28" i="37" s="1"/>
  <c r="D108" i="45"/>
  <c r="E108" i="45" s="1"/>
  <c r="G107" i="45"/>
  <c r="B29" i="39"/>
  <c r="F29" i="39"/>
  <c r="J106" i="41"/>
  <c r="I39" i="9"/>
  <c r="B33" i="27"/>
  <c r="F33" i="27"/>
  <c r="G33" i="27" s="1"/>
  <c r="H33" i="27"/>
  <c r="I34" i="22"/>
  <c r="G108" i="44"/>
  <c r="D109" i="44"/>
  <c r="E109" i="44" s="1"/>
  <c r="F28" i="38"/>
  <c r="G28" i="38" s="1"/>
  <c r="B28" i="38"/>
  <c r="G40" i="9"/>
  <c r="H40" i="9"/>
  <c r="I40" i="9" s="1"/>
  <c r="F40" i="9"/>
  <c r="B40" i="9"/>
  <c r="B35" i="22"/>
  <c r="F35" i="22"/>
  <c r="H35" i="22"/>
  <c r="B34" i="23"/>
  <c r="F34" i="23"/>
  <c r="H107" i="39"/>
  <c r="I107" i="39"/>
  <c r="B37" i="4"/>
  <c r="F37" i="4"/>
  <c r="H37" i="4" s="1"/>
  <c r="G37" i="3"/>
  <c r="B37" i="3"/>
  <c r="F37" i="3"/>
  <c r="H37" i="3" s="1"/>
  <c r="I37" i="3" s="1"/>
  <c r="E33" i="29"/>
  <c r="D33" i="29"/>
  <c r="H28" i="43"/>
  <c r="I28" i="43" s="1"/>
  <c r="F28" i="43"/>
  <c r="G28" i="43"/>
  <c r="B28" i="43"/>
  <c r="D108" i="41"/>
  <c r="G107" i="41"/>
  <c r="E108" i="41"/>
  <c r="F28" i="40"/>
  <c r="H28" i="40"/>
  <c r="G28" i="40"/>
  <c r="B28" i="40"/>
  <c r="I28" i="13"/>
  <c r="E112" i="31"/>
  <c r="D112" i="31"/>
  <c r="G111" i="31"/>
  <c r="B29" i="44"/>
  <c r="G29" i="44"/>
  <c r="F29" i="44"/>
  <c r="H29" i="44"/>
  <c r="I29" i="44" s="1"/>
  <c r="B27" i="45"/>
  <c r="F27" i="45"/>
  <c r="H27" i="45"/>
  <c r="I27" i="45" s="1"/>
  <c r="G27" i="45"/>
  <c r="G27" i="42"/>
  <c r="H27" i="42"/>
  <c r="B27" i="42"/>
  <c r="F27" i="42"/>
  <c r="G32" i="29"/>
  <c r="G109" i="13"/>
  <c r="D110" i="13"/>
  <c r="D31" i="31"/>
  <c r="E31" i="31"/>
  <c r="H31" i="28"/>
  <c r="B31" i="28"/>
  <c r="F31" i="28"/>
  <c r="G39" i="10"/>
  <c r="B39" i="10"/>
  <c r="F39" i="10"/>
  <c r="H39" i="10" s="1"/>
  <c r="I39" i="10" s="1"/>
  <c r="F39" i="11"/>
  <c r="G39" i="11"/>
  <c r="B39" i="11"/>
  <c r="H39" i="11"/>
  <c r="F29" i="13"/>
  <c r="B29" i="13"/>
  <c r="G30" i="30"/>
  <c r="B30" i="30"/>
  <c r="F30" i="30"/>
  <c r="D39" i="6"/>
  <c r="E39" i="6"/>
  <c r="F40" i="7"/>
  <c r="H40" i="7" s="1"/>
  <c r="B40" i="7"/>
  <c r="B37" i="8"/>
  <c r="F37" i="8"/>
  <c r="G37" i="8"/>
  <c r="H37" i="8"/>
  <c r="H32" i="29"/>
  <c r="I32" i="29" s="1"/>
  <c r="B109" i="42"/>
  <c r="F109" i="42"/>
  <c r="H28" i="41"/>
  <c r="F28" i="41"/>
  <c r="G28" i="41" s="1"/>
  <c r="B28" i="41"/>
  <c r="F108" i="39"/>
  <c r="B108" i="39"/>
  <c r="B37" i="5"/>
  <c r="F37" i="5"/>
  <c r="H37" i="5"/>
  <c r="I37" i="5" s="1"/>
  <c r="G37" i="5"/>
  <c r="D108" i="43"/>
  <c r="G107" i="43"/>
  <c r="E108" i="43"/>
  <c r="H108" i="42"/>
  <c r="I108" i="42"/>
  <c r="B116" i="4" l="1"/>
  <c r="F116" i="4"/>
  <c r="H117" i="9"/>
  <c r="I117" i="9"/>
  <c r="J117" i="9" s="1"/>
  <c r="F110" i="30"/>
  <c r="B110" i="30"/>
  <c r="H114" i="22"/>
  <c r="I114" i="22"/>
  <c r="J114" i="22" s="1"/>
  <c r="I118" i="7"/>
  <c r="J118" i="7" s="1"/>
  <c r="H118" i="7"/>
  <c r="H113" i="23"/>
  <c r="I113" i="23"/>
  <c r="J113" i="23" s="1"/>
  <c r="F119" i="10"/>
  <c r="B119" i="10"/>
  <c r="H116" i="8"/>
  <c r="I116" i="8"/>
  <c r="J116" i="8" s="1"/>
  <c r="B111" i="28"/>
  <c r="F111" i="28"/>
  <c r="D109" i="38"/>
  <c r="E109" i="38"/>
  <c r="G108" i="38"/>
  <c r="I115" i="4"/>
  <c r="H115" i="4"/>
  <c r="B117" i="6"/>
  <c r="F117" i="6"/>
  <c r="I115" i="5"/>
  <c r="H115" i="5"/>
  <c r="H109" i="30"/>
  <c r="I109" i="30"/>
  <c r="I107" i="37"/>
  <c r="H107" i="37"/>
  <c r="F112" i="27"/>
  <c r="B112" i="27"/>
  <c r="F119" i="7"/>
  <c r="B119" i="7"/>
  <c r="H112" i="24"/>
  <c r="I112" i="24"/>
  <c r="J112" i="24" s="1"/>
  <c r="J108" i="42"/>
  <c r="F108" i="40"/>
  <c r="B108" i="40"/>
  <c r="F118" i="9"/>
  <c r="B118" i="9"/>
  <c r="B108" i="37"/>
  <c r="F108" i="37"/>
  <c r="F115" i="22"/>
  <c r="B115" i="22"/>
  <c r="B116" i="3"/>
  <c r="F116" i="3"/>
  <c r="B118" i="11"/>
  <c r="F118" i="11"/>
  <c r="B114" i="23"/>
  <c r="F114" i="23"/>
  <c r="B117" i="8"/>
  <c r="F117" i="8"/>
  <c r="H110" i="28"/>
  <c r="I110" i="28"/>
  <c r="H114" i="25"/>
  <c r="I114" i="25"/>
  <c r="H107" i="40"/>
  <c r="I107" i="40"/>
  <c r="H116" i="6"/>
  <c r="I116" i="6"/>
  <c r="B116" i="5"/>
  <c r="F116" i="5"/>
  <c r="H111" i="27"/>
  <c r="I111" i="27"/>
  <c r="I115" i="3"/>
  <c r="J115" i="3" s="1"/>
  <c r="H115" i="3"/>
  <c r="I117" i="11"/>
  <c r="J117" i="11" s="1"/>
  <c r="H117" i="11"/>
  <c r="H118" i="10"/>
  <c r="I118" i="10"/>
  <c r="B113" i="24"/>
  <c r="F113" i="24"/>
  <c r="F115" i="25"/>
  <c r="B115" i="25"/>
  <c r="D113" i="29"/>
  <c r="G112" i="29"/>
  <c r="E113" i="29"/>
  <c r="J111" i="29"/>
  <c r="B108" i="41"/>
  <c r="F108" i="41"/>
  <c r="D35" i="23"/>
  <c r="E35" i="23"/>
  <c r="I33" i="27"/>
  <c r="E30" i="39"/>
  <c r="D30" i="39"/>
  <c r="D38" i="5"/>
  <c r="E38" i="5"/>
  <c r="E38" i="8"/>
  <c r="D38" i="8"/>
  <c r="D31" i="30"/>
  <c r="E31" i="30"/>
  <c r="I39" i="11"/>
  <c r="D32" i="28"/>
  <c r="E32" i="28"/>
  <c r="I109" i="13"/>
  <c r="H109" i="13"/>
  <c r="D30" i="44"/>
  <c r="E30" i="44"/>
  <c r="F33" i="29"/>
  <c r="G33" i="29"/>
  <c r="H33" i="29"/>
  <c r="I33" i="29" s="1"/>
  <c r="B33" i="29"/>
  <c r="B110" i="13"/>
  <c r="D38" i="4"/>
  <c r="E38" i="4"/>
  <c r="H34" i="23"/>
  <c r="D41" i="7"/>
  <c r="E41" i="7"/>
  <c r="I31" i="28"/>
  <c r="D28" i="45"/>
  <c r="E28" i="45"/>
  <c r="F109" i="44"/>
  <c r="B109" i="44"/>
  <c r="H107" i="45"/>
  <c r="I107" i="45"/>
  <c r="I28" i="41"/>
  <c r="E30" i="13"/>
  <c r="D30" i="13"/>
  <c r="D109" i="39"/>
  <c r="E109" i="39"/>
  <c r="G108" i="39"/>
  <c r="D110" i="42"/>
  <c r="G109" i="42"/>
  <c r="G40" i="7"/>
  <c r="I40" i="7" s="1"/>
  <c r="H30" i="30"/>
  <c r="I30" i="30" s="1"/>
  <c r="D40" i="11"/>
  <c r="E40" i="11"/>
  <c r="G31" i="28"/>
  <c r="I28" i="40"/>
  <c r="G37" i="4"/>
  <c r="I37" i="4" s="1"/>
  <c r="D36" i="22"/>
  <c r="E36" i="22"/>
  <c r="H28" i="38"/>
  <c r="I28" i="38" s="1"/>
  <c r="I108" i="44"/>
  <c r="H108" i="44"/>
  <c r="F108" i="45"/>
  <c r="B108" i="45"/>
  <c r="H33" i="24"/>
  <c r="I33" i="24" s="1"/>
  <c r="D36" i="25"/>
  <c r="E36" i="25"/>
  <c r="D34" i="27"/>
  <c r="E34" i="27"/>
  <c r="H107" i="43"/>
  <c r="I107" i="43"/>
  <c r="J107" i="43" s="1"/>
  <c r="G29" i="13"/>
  <c r="D28" i="42"/>
  <c r="E28" i="42"/>
  <c r="D29" i="40"/>
  <c r="E29" i="40"/>
  <c r="D29" i="43"/>
  <c r="E29" i="43"/>
  <c r="J107" i="39"/>
  <c r="G35" i="22"/>
  <c r="I35" i="22" s="1"/>
  <c r="E41" i="9"/>
  <c r="D41" i="9"/>
  <c r="B108" i="43"/>
  <c r="F108" i="43"/>
  <c r="B39" i="6"/>
  <c r="F39" i="6"/>
  <c r="E40" i="10"/>
  <c r="D40" i="10"/>
  <c r="B31" i="31"/>
  <c r="F31" i="31"/>
  <c r="G31" i="31" s="1"/>
  <c r="I111" i="31"/>
  <c r="H111" i="31"/>
  <c r="E38" i="3"/>
  <c r="D38" i="3"/>
  <c r="D29" i="38"/>
  <c r="E29" i="38"/>
  <c r="H29" i="39"/>
  <c r="I29" i="39" s="1"/>
  <c r="E29" i="37"/>
  <c r="D29" i="37"/>
  <c r="D34" i="24"/>
  <c r="E34" i="24"/>
  <c r="D29" i="41"/>
  <c r="E29" i="41"/>
  <c r="I37" i="8"/>
  <c r="H29" i="13"/>
  <c r="I29" i="13" s="1"/>
  <c r="E110" i="13"/>
  <c r="F110" i="13" s="1"/>
  <c r="I27" i="42"/>
  <c r="B112" i="31"/>
  <c r="F112" i="31"/>
  <c r="I107" i="41"/>
  <c r="H107" i="41"/>
  <c r="G34" i="23"/>
  <c r="G29" i="39"/>
  <c r="I28" i="37"/>
  <c r="J107" i="41" l="1"/>
  <c r="J118" i="10"/>
  <c r="G116" i="5"/>
  <c r="D117" i="5"/>
  <c r="E117" i="5"/>
  <c r="J107" i="40"/>
  <c r="J110" i="28"/>
  <c r="E115" i="23"/>
  <c r="D115" i="23"/>
  <c r="G114" i="23"/>
  <c r="D117" i="3"/>
  <c r="E117" i="3"/>
  <c r="G116" i="3"/>
  <c r="E109" i="37"/>
  <c r="G108" i="37"/>
  <c r="D109" i="37"/>
  <c r="E113" i="27"/>
  <c r="G112" i="27"/>
  <c r="D113" i="27"/>
  <c r="G115" i="25"/>
  <c r="D116" i="25"/>
  <c r="E116" i="25"/>
  <c r="D109" i="40"/>
  <c r="E109" i="40"/>
  <c r="G108" i="40"/>
  <c r="F109" i="38"/>
  <c r="B109" i="38"/>
  <c r="D114" i="24"/>
  <c r="E114" i="24"/>
  <c r="G113" i="24"/>
  <c r="J111" i="27"/>
  <c r="J116" i="6"/>
  <c r="J114" i="25"/>
  <c r="E118" i="8"/>
  <c r="D118" i="8"/>
  <c r="G117" i="8"/>
  <c r="G118" i="11"/>
  <c r="D119" i="11"/>
  <c r="E119" i="11"/>
  <c r="G119" i="7"/>
  <c r="D120" i="7"/>
  <c r="E120" i="7"/>
  <c r="J107" i="37"/>
  <c r="J115" i="5"/>
  <c r="J115" i="4"/>
  <c r="E112" i="28"/>
  <c r="G111" i="28"/>
  <c r="D112" i="28"/>
  <c r="G116" i="4"/>
  <c r="E117" i="4"/>
  <c r="D117" i="4"/>
  <c r="D116" i="22"/>
  <c r="G115" i="22"/>
  <c r="E116" i="22"/>
  <c r="E119" i="9"/>
  <c r="D119" i="9"/>
  <c r="G118" i="9"/>
  <c r="J109" i="30"/>
  <c r="E118" i="6"/>
  <c r="D118" i="6"/>
  <c r="G117" i="6"/>
  <c r="I108" i="38"/>
  <c r="H108" i="38"/>
  <c r="D120" i="10"/>
  <c r="G119" i="10"/>
  <c r="E120" i="10"/>
  <c r="D111" i="30"/>
  <c r="E111" i="30"/>
  <c r="G110" i="30"/>
  <c r="I112" i="29"/>
  <c r="H112" i="29"/>
  <c r="J107" i="45"/>
  <c r="F113" i="29"/>
  <c r="B113" i="29"/>
  <c r="D111" i="13"/>
  <c r="G110" i="13"/>
  <c r="E40" i="6"/>
  <c r="D40" i="6"/>
  <c r="F38" i="5"/>
  <c r="B38" i="5"/>
  <c r="J108" i="44"/>
  <c r="B35" i="23"/>
  <c r="H35" i="23"/>
  <c r="F35" i="23"/>
  <c r="G35" i="23"/>
  <c r="B34" i="27"/>
  <c r="G34" i="27"/>
  <c r="F34" i="27"/>
  <c r="B30" i="13"/>
  <c r="H30" i="13"/>
  <c r="F30" i="13"/>
  <c r="G30" i="13"/>
  <c r="D110" i="44"/>
  <c r="E110" i="44" s="1"/>
  <c r="G109" i="44"/>
  <c r="B31" i="30"/>
  <c r="F31" i="30"/>
  <c r="H31" i="30"/>
  <c r="G31" i="30"/>
  <c r="G108" i="41"/>
  <c r="D109" i="41"/>
  <c r="E109" i="41"/>
  <c r="D32" i="31"/>
  <c r="E32" i="31"/>
  <c r="G39" i="6"/>
  <c r="B29" i="43"/>
  <c r="H29" i="43"/>
  <c r="I29" i="43" s="1"/>
  <c r="G29" i="43"/>
  <c r="F29" i="43"/>
  <c r="B41" i="7"/>
  <c r="F41" i="7"/>
  <c r="G41" i="7" s="1"/>
  <c r="F30" i="44"/>
  <c r="G30" i="44" s="1"/>
  <c r="B30" i="44"/>
  <c r="H30" i="44"/>
  <c r="F38" i="8"/>
  <c r="H38" i="8" s="1"/>
  <c r="B38" i="8"/>
  <c r="B30" i="39"/>
  <c r="F30" i="39"/>
  <c r="G30" i="39" s="1"/>
  <c r="F38" i="4"/>
  <c r="H38" i="4" s="1"/>
  <c r="B38" i="4"/>
  <c r="B28" i="42"/>
  <c r="F28" i="42"/>
  <c r="H28" i="42" s="1"/>
  <c r="B109" i="39"/>
  <c r="F109" i="39"/>
  <c r="B36" i="25"/>
  <c r="H36" i="25"/>
  <c r="F36" i="25"/>
  <c r="F36" i="22"/>
  <c r="B36" i="22"/>
  <c r="H109" i="42"/>
  <c r="I109" i="42"/>
  <c r="G112" i="31"/>
  <c r="E113" i="31"/>
  <c r="D113" i="31"/>
  <c r="F29" i="38"/>
  <c r="G29" i="38"/>
  <c r="H29" i="38"/>
  <c r="I29" i="38" s="1"/>
  <c r="B29" i="38"/>
  <c r="H31" i="31"/>
  <c r="I31" i="31" s="1"/>
  <c r="F29" i="40"/>
  <c r="H29" i="40"/>
  <c r="G29" i="40"/>
  <c r="B29" i="40"/>
  <c r="B110" i="42"/>
  <c r="H28" i="45"/>
  <c r="F28" i="45"/>
  <c r="G28" i="45" s="1"/>
  <c r="B28" i="45"/>
  <c r="J109" i="13"/>
  <c r="J111" i="31"/>
  <c r="H39" i="6"/>
  <c r="I39" i="6" s="1"/>
  <c r="F29" i="41"/>
  <c r="G29" i="41"/>
  <c r="B29" i="41"/>
  <c r="H29" i="41"/>
  <c r="G108" i="43"/>
  <c r="D109" i="43"/>
  <c r="E109" i="43"/>
  <c r="F34" i="24"/>
  <c r="G34" i="24" s="1"/>
  <c r="B34" i="24"/>
  <c r="H34" i="24"/>
  <c r="B38" i="3"/>
  <c r="F38" i="3"/>
  <c r="H38" i="3" s="1"/>
  <c r="I38" i="3" s="1"/>
  <c r="G38" i="3"/>
  <c r="B40" i="10"/>
  <c r="F40" i="10"/>
  <c r="H40" i="10" s="1"/>
  <c r="G41" i="9"/>
  <c r="B41" i="9"/>
  <c r="F41" i="9"/>
  <c r="H41" i="9"/>
  <c r="E110" i="42"/>
  <c r="F110" i="42" s="1"/>
  <c r="I34" i="23"/>
  <c r="D34" i="29"/>
  <c r="E34" i="29"/>
  <c r="F29" i="37"/>
  <c r="G29" i="37" s="1"/>
  <c r="B29" i="37"/>
  <c r="G108" i="45"/>
  <c r="D109" i="45"/>
  <c r="E109" i="45" s="1"/>
  <c r="B40" i="11"/>
  <c r="F40" i="11"/>
  <c r="G40" i="11"/>
  <c r="I108" i="39"/>
  <c r="H108" i="39"/>
  <c r="B32" i="28"/>
  <c r="G32" i="28"/>
  <c r="F32" i="28"/>
  <c r="H32" i="28" s="1"/>
  <c r="I32" i="28" s="1"/>
  <c r="B120" i="10" l="1"/>
  <c r="F120" i="10"/>
  <c r="F118" i="6"/>
  <c r="B118" i="6"/>
  <c r="F119" i="9"/>
  <c r="B119" i="9"/>
  <c r="F116" i="22"/>
  <c r="B116" i="22"/>
  <c r="F112" i="28"/>
  <c r="B112" i="28"/>
  <c r="H119" i="7"/>
  <c r="I119" i="7"/>
  <c r="J119" i="7" s="1"/>
  <c r="I117" i="8"/>
  <c r="H117" i="8"/>
  <c r="B114" i="24"/>
  <c r="F114" i="24"/>
  <c r="H115" i="25"/>
  <c r="I115" i="25"/>
  <c r="J115" i="25" s="1"/>
  <c r="F109" i="37"/>
  <c r="B109" i="37"/>
  <c r="F117" i="5"/>
  <c r="B117" i="5"/>
  <c r="B111" i="30"/>
  <c r="F111" i="30"/>
  <c r="F117" i="4"/>
  <c r="B117" i="4"/>
  <c r="I111" i="28"/>
  <c r="H111" i="28"/>
  <c r="B118" i="8"/>
  <c r="F118" i="8"/>
  <c r="B109" i="40"/>
  <c r="F109" i="40"/>
  <c r="F113" i="27"/>
  <c r="B113" i="27"/>
  <c r="I108" i="37"/>
  <c r="H108" i="37"/>
  <c r="B117" i="3"/>
  <c r="F117" i="3"/>
  <c r="I116" i="5"/>
  <c r="H116" i="5"/>
  <c r="J108" i="38"/>
  <c r="B119" i="11"/>
  <c r="F119" i="11"/>
  <c r="H113" i="24"/>
  <c r="I113" i="24"/>
  <c r="G109" i="38"/>
  <c r="D110" i="38"/>
  <c r="E110" i="38"/>
  <c r="I112" i="27"/>
  <c r="H112" i="27"/>
  <c r="I114" i="23"/>
  <c r="J114" i="23" s="1"/>
  <c r="H114" i="23"/>
  <c r="J109" i="42"/>
  <c r="H110" i="30"/>
  <c r="I110" i="30"/>
  <c r="J110" i="30" s="1"/>
  <c r="H119" i="10"/>
  <c r="I119" i="10"/>
  <c r="I117" i="6"/>
  <c r="H117" i="6"/>
  <c r="I118" i="9"/>
  <c r="J118" i="9" s="1"/>
  <c r="H118" i="9"/>
  <c r="H115" i="22"/>
  <c r="I115" i="22"/>
  <c r="J115" i="22" s="1"/>
  <c r="H116" i="4"/>
  <c r="I116" i="4"/>
  <c r="B120" i="7"/>
  <c r="F120" i="7"/>
  <c r="H118" i="11"/>
  <c r="I118" i="11"/>
  <c r="H108" i="40"/>
  <c r="I108" i="40"/>
  <c r="B116" i="25"/>
  <c r="F116" i="25"/>
  <c r="I116" i="3"/>
  <c r="H116" i="3"/>
  <c r="F115" i="23"/>
  <c r="B115" i="23"/>
  <c r="G113" i="29"/>
  <c r="D114" i="29"/>
  <c r="E114" i="29"/>
  <c r="J112" i="29"/>
  <c r="D111" i="42"/>
  <c r="E111" i="42" s="1"/>
  <c r="G110" i="42"/>
  <c r="I40" i="10"/>
  <c r="I38" i="8"/>
  <c r="H108" i="43"/>
  <c r="I108" i="43"/>
  <c r="F109" i="41"/>
  <c r="B109" i="41"/>
  <c r="D39" i="5"/>
  <c r="E39" i="5"/>
  <c r="J108" i="39"/>
  <c r="F109" i="45"/>
  <c r="B109" i="45"/>
  <c r="I29" i="41"/>
  <c r="E30" i="38"/>
  <c r="D30" i="38"/>
  <c r="D37" i="25"/>
  <c r="E37" i="25"/>
  <c r="G28" i="42"/>
  <c r="I28" i="42" s="1"/>
  <c r="H30" i="39"/>
  <c r="I30" i="39" s="1"/>
  <c r="I108" i="41"/>
  <c r="H108" i="41"/>
  <c r="D31" i="13"/>
  <c r="E31" i="13" s="1"/>
  <c r="D35" i="27"/>
  <c r="E35" i="27"/>
  <c r="E36" i="23"/>
  <c r="D36" i="23"/>
  <c r="E35" i="24"/>
  <c r="D35" i="24"/>
  <c r="H112" i="31"/>
  <c r="I112" i="31"/>
  <c r="D31" i="44"/>
  <c r="E31" i="44"/>
  <c r="I30" i="13"/>
  <c r="B34" i="29"/>
  <c r="F34" i="29"/>
  <c r="H34" i="29"/>
  <c r="G34" i="29"/>
  <c r="I41" i="9"/>
  <c r="I29" i="40"/>
  <c r="F32" i="31"/>
  <c r="B32" i="31"/>
  <c r="I31" i="30"/>
  <c r="F40" i="6"/>
  <c r="G40" i="6" s="1"/>
  <c r="H40" i="6"/>
  <c r="B40" i="6"/>
  <c r="D41" i="10"/>
  <c r="E41" i="10"/>
  <c r="G40" i="10"/>
  <c r="D37" i="22"/>
  <c r="E37" i="22"/>
  <c r="I108" i="45"/>
  <c r="H108" i="45"/>
  <c r="I35" i="23"/>
  <c r="D41" i="11"/>
  <c r="E41" i="11"/>
  <c r="H29" i="37"/>
  <c r="I29" i="37" s="1"/>
  <c r="E42" i="9"/>
  <c r="D42" i="9"/>
  <c r="D30" i="41"/>
  <c r="E30" i="41"/>
  <c r="D30" i="40"/>
  <c r="E30" i="40"/>
  <c r="G36" i="25"/>
  <c r="I36" i="25" s="1"/>
  <c r="G38" i="4"/>
  <c r="I38" i="4" s="1"/>
  <c r="G38" i="8"/>
  <c r="H41" i="7"/>
  <c r="I41" i="7" s="1"/>
  <c r="D32" i="30"/>
  <c r="E32" i="30"/>
  <c r="H34" i="27"/>
  <c r="I34" i="27" s="1"/>
  <c r="F113" i="31"/>
  <c r="B113" i="31"/>
  <c r="E33" i="28"/>
  <c r="D33" i="28"/>
  <c r="H40" i="11"/>
  <c r="I40" i="11" s="1"/>
  <c r="D39" i="3"/>
  <c r="E39" i="3"/>
  <c r="D29" i="45"/>
  <c r="E29" i="45"/>
  <c r="H36" i="22"/>
  <c r="E110" i="39"/>
  <c r="D110" i="39"/>
  <c r="G109" i="39"/>
  <c r="D30" i="43"/>
  <c r="E30" i="43"/>
  <c r="H38" i="5"/>
  <c r="I110" i="13"/>
  <c r="H110" i="13"/>
  <c r="D30" i="37"/>
  <c r="E30" i="37"/>
  <c r="I28" i="45"/>
  <c r="G36" i="22"/>
  <c r="E39" i="4"/>
  <c r="D39" i="4"/>
  <c r="E39" i="8"/>
  <c r="D39" i="8"/>
  <c r="D42" i="7"/>
  <c r="E42" i="7"/>
  <c r="H109" i="44"/>
  <c r="I109" i="44"/>
  <c r="G38" i="5"/>
  <c r="B111" i="13"/>
  <c r="I34" i="24"/>
  <c r="F109" i="43"/>
  <c r="B109" i="43"/>
  <c r="D29" i="42"/>
  <c r="E29" i="42"/>
  <c r="E31" i="39"/>
  <c r="D31" i="39"/>
  <c r="I30" i="44"/>
  <c r="B110" i="44"/>
  <c r="F110" i="44"/>
  <c r="E111" i="13"/>
  <c r="F111" i="13" s="1"/>
  <c r="D116" i="23" l="1"/>
  <c r="E116" i="23"/>
  <c r="G115" i="23"/>
  <c r="E110" i="40"/>
  <c r="G109" i="40"/>
  <c r="D110" i="40"/>
  <c r="G111" i="30"/>
  <c r="E112" i="30"/>
  <c r="D112" i="30"/>
  <c r="D115" i="24"/>
  <c r="E115" i="24"/>
  <c r="G114" i="24"/>
  <c r="J109" i="44"/>
  <c r="J108" i="40"/>
  <c r="G120" i="7"/>
  <c r="E121" i="7"/>
  <c r="D121" i="7"/>
  <c r="F110" i="38"/>
  <c r="B110" i="38"/>
  <c r="D120" i="11"/>
  <c r="E120" i="11"/>
  <c r="G119" i="11"/>
  <c r="J116" i="5"/>
  <c r="J108" i="37"/>
  <c r="J111" i="28"/>
  <c r="D110" i="37"/>
  <c r="G109" i="37"/>
  <c r="E110" i="37"/>
  <c r="E117" i="22"/>
  <c r="D117" i="22"/>
  <c r="G116" i="22"/>
  <c r="D119" i="6"/>
  <c r="G118" i="6"/>
  <c r="E119" i="6"/>
  <c r="J116" i="3"/>
  <c r="J117" i="6"/>
  <c r="H109" i="38"/>
  <c r="I109" i="38"/>
  <c r="G117" i="3"/>
  <c r="E118" i="3"/>
  <c r="D118" i="3"/>
  <c r="E119" i="8"/>
  <c r="D119" i="8"/>
  <c r="G118" i="8"/>
  <c r="G120" i="10"/>
  <c r="D121" i="10"/>
  <c r="E121" i="10"/>
  <c r="J112" i="31"/>
  <c r="G116" i="25"/>
  <c r="E117" i="25"/>
  <c r="D117" i="25"/>
  <c r="J118" i="11"/>
  <c r="J116" i="4"/>
  <c r="J119" i="10"/>
  <c r="J112" i="27"/>
  <c r="J113" i="24"/>
  <c r="D114" i="27"/>
  <c r="E114" i="27"/>
  <c r="G113" i="27"/>
  <c r="G117" i="4"/>
  <c r="D118" i="4"/>
  <c r="E118" i="4"/>
  <c r="D118" i="5"/>
  <c r="G117" i="5"/>
  <c r="E118" i="5"/>
  <c r="J117" i="8"/>
  <c r="D113" i="28"/>
  <c r="E113" i="28"/>
  <c r="G112" i="28"/>
  <c r="G119" i="9"/>
  <c r="D120" i="9"/>
  <c r="E120" i="9"/>
  <c r="F114" i="29"/>
  <c r="B114" i="29"/>
  <c r="J108" i="45"/>
  <c r="H113" i="29"/>
  <c r="I113" i="29"/>
  <c r="G111" i="13"/>
  <c r="D112" i="13"/>
  <c r="D110" i="43"/>
  <c r="G109" i="43"/>
  <c r="E110" i="43"/>
  <c r="F36" i="23"/>
  <c r="G36" i="23" s="1"/>
  <c r="B36" i="23"/>
  <c r="B31" i="39"/>
  <c r="H31" i="39"/>
  <c r="F31" i="39"/>
  <c r="B30" i="38"/>
  <c r="F30" i="38"/>
  <c r="B30" i="37"/>
  <c r="F30" i="37"/>
  <c r="H30" i="37" s="1"/>
  <c r="B39" i="4"/>
  <c r="F39" i="4"/>
  <c r="B35" i="24"/>
  <c r="F35" i="24"/>
  <c r="H35" i="24"/>
  <c r="G35" i="24"/>
  <c r="J108" i="41"/>
  <c r="G109" i="45"/>
  <c r="D110" i="45"/>
  <c r="E110" i="45"/>
  <c r="F29" i="42"/>
  <c r="G29" i="42" s="1"/>
  <c r="B29" i="42"/>
  <c r="B110" i="39"/>
  <c r="F110" i="39"/>
  <c r="D35" i="29"/>
  <c r="E35" i="29"/>
  <c r="F35" i="27"/>
  <c r="H35" i="27" s="1"/>
  <c r="I35" i="27" s="1"/>
  <c r="G35" i="27"/>
  <c r="B35" i="27"/>
  <c r="I110" i="42"/>
  <c r="H110" i="42"/>
  <c r="F33" i="28"/>
  <c r="G33" i="28" s="1"/>
  <c r="H33" i="28"/>
  <c r="B33" i="28"/>
  <c r="F39" i="5"/>
  <c r="B39" i="5"/>
  <c r="D111" i="44"/>
  <c r="E111" i="44"/>
  <c r="G110" i="44"/>
  <c r="G113" i="31"/>
  <c r="D114" i="31"/>
  <c r="E114" i="31"/>
  <c r="B42" i="9"/>
  <c r="H42" i="9"/>
  <c r="F42" i="9"/>
  <c r="G109" i="41"/>
  <c r="D110" i="41"/>
  <c r="E110" i="41"/>
  <c r="I40" i="6"/>
  <c r="H37" i="22"/>
  <c r="I37" i="22" s="1"/>
  <c r="F37" i="22"/>
  <c r="G37" i="22"/>
  <c r="B37" i="22"/>
  <c r="I36" i="22"/>
  <c r="F31" i="13"/>
  <c r="H31" i="13" s="1"/>
  <c r="I31" i="13" s="1"/>
  <c r="G31" i="13"/>
  <c r="B31" i="13"/>
  <c r="F111" i="42"/>
  <c r="B111" i="42"/>
  <c r="D33" i="31"/>
  <c r="E33" i="31"/>
  <c r="F30" i="41"/>
  <c r="H30" i="41" s="1"/>
  <c r="I30" i="41" s="1"/>
  <c r="G30" i="41"/>
  <c r="B30" i="41"/>
  <c r="B41" i="11"/>
  <c r="F41" i="11"/>
  <c r="D41" i="6"/>
  <c r="E41" i="6"/>
  <c r="J110" i="13"/>
  <c r="F39" i="3"/>
  <c r="B39" i="3"/>
  <c r="F32" i="30"/>
  <c r="G32" i="30" s="1"/>
  <c r="B32" i="30"/>
  <c r="G32" i="31"/>
  <c r="B39" i="8"/>
  <c r="F39" i="8"/>
  <c r="H39" i="8"/>
  <c r="G39" i="8"/>
  <c r="B30" i="43"/>
  <c r="F30" i="43"/>
  <c r="G30" i="43"/>
  <c r="H109" i="39"/>
  <c r="I109" i="39"/>
  <c r="I34" i="29"/>
  <c r="B42" i="7"/>
  <c r="F42" i="7"/>
  <c r="G42" i="7"/>
  <c r="H42" i="7"/>
  <c r="I42" i="7" s="1"/>
  <c r="I38" i="5"/>
  <c r="F29" i="45"/>
  <c r="H29" i="45" s="1"/>
  <c r="I29" i="45" s="1"/>
  <c r="G29" i="45"/>
  <c r="B29" i="45"/>
  <c r="B30" i="40"/>
  <c r="H30" i="40"/>
  <c r="F30" i="40"/>
  <c r="F41" i="10"/>
  <c r="B41" i="10"/>
  <c r="H32" i="31"/>
  <c r="I32" i="31" s="1"/>
  <c r="F31" i="44"/>
  <c r="B31" i="44"/>
  <c r="H31" i="44"/>
  <c r="G31" i="44"/>
  <c r="F37" i="25"/>
  <c r="H37" i="25" s="1"/>
  <c r="B37" i="25"/>
  <c r="J108" i="43"/>
  <c r="H117" i="5" l="1"/>
  <c r="I117" i="5"/>
  <c r="J117" i="5" s="1"/>
  <c r="H117" i="4"/>
  <c r="I117" i="4"/>
  <c r="J117" i="4" s="1"/>
  <c r="I118" i="8"/>
  <c r="H118" i="8"/>
  <c r="F119" i="6"/>
  <c r="B119" i="6"/>
  <c r="B120" i="11"/>
  <c r="F120" i="11"/>
  <c r="H114" i="24"/>
  <c r="I114" i="24"/>
  <c r="J114" i="24" s="1"/>
  <c r="B120" i="9"/>
  <c r="F120" i="9"/>
  <c r="B113" i="28"/>
  <c r="F113" i="28"/>
  <c r="F118" i="5"/>
  <c r="B118" i="5"/>
  <c r="H113" i="27"/>
  <c r="I113" i="27"/>
  <c r="J113" i="27" s="1"/>
  <c r="F117" i="25"/>
  <c r="B117" i="25"/>
  <c r="B119" i="8"/>
  <c r="F119" i="8"/>
  <c r="H117" i="3"/>
  <c r="I117" i="3"/>
  <c r="J117" i="3" s="1"/>
  <c r="H116" i="22"/>
  <c r="I116" i="22"/>
  <c r="J116" i="22" s="1"/>
  <c r="H109" i="37"/>
  <c r="I109" i="37"/>
  <c r="J109" i="37" s="1"/>
  <c r="I120" i="7"/>
  <c r="H120" i="7"/>
  <c r="H111" i="30"/>
  <c r="I111" i="30"/>
  <c r="J111" i="30" s="1"/>
  <c r="H115" i="23"/>
  <c r="I115" i="23"/>
  <c r="J109" i="39"/>
  <c r="J113" i="29"/>
  <c r="H119" i="9"/>
  <c r="I119" i="9"/>
  <c r="J119" i="9" s="1"/>
  <c r="F121" i="10"/>
  <c r="B121" i="10"/>
  <c r="J109" i="38"/>
  <c r="F117" i="22"/>
  <c r="B117" i="22"/>
  <c r="F110" i="37"/>
  <c r="B110" i="37"/>
  <c r="I119" i="11"/>
  <c r="J119" i="11" s="1"/>
  <c r="H119" i="11"/>
  <c r="D111" i="38"/>
  <c r="E111" i="38"/>
  <c r="G110" i="38"/>
  <c r="B115" i="24"/>
  <c r="F115" i="24"/>
  <c r="B110" i="40"/>
  <c r="F110" i="40"/>
  <c r="H112" i="28"/>
  <c r="I112" i="28"/>
  <c r="J112" i="28" s="1"/>
  <c r="B118" i="4"/>
  <c r="F118" i="4"/>
  <c r="F114" i="27"/>
  <c r="B114" i="27"/>
  <c r="H116" i="25"/>
  <c r="I116" i="25"/>
  <c r="H120" i="10"/>
  <c r="I120" i="10"/>
  <c r="J120" i="10" s="1"/>
  <c r="B118" i="3"/>
  <c r="F118" i="3"/>
  <c r="I118" i="6"/>
  <c r="H118" i="6"/>
  <c r="B121" i="7"/>
  <c r="F121" i="7"/>
  <c r="B112" i="30"/>
  <c r="F112" i="30"/>
  <c r="H109" i="40"/>
  <c r="I109" i="40"/>
  <c r="B116" i="23"/>
  <c r="F116" i="23"/>
  <c r="G114" i="29"/>
  <c r="D115" i="29"/>
  <c r="E115" i="29"/>
  <c r="D40" i="3"/>
  <c r="E40" i="3"/>
  <c r="E42" i="11"/>
  <c r="D42" i="11"/>
  <c r="D31" i="38"/>
  <c r="E31" i="38"/>
  <c r="I31" i="44"/>
  <c r="I39" i="8"/>
  <c r="G39" i="3"/>
  <c r="I35" i="24"/>
  <c r="D31" i="40"/>
  <c r="E31" i="40"/>
  <c r="D40" i="8"/>
  <c r="E40" i="8"/>
  <c r="G41" i="11"/>
  <c r="I113" i="31"/>
  <c r="H113" i="31"/>
  <c r="H29" i="42"/>
  <c r="I29" i="42" s="1"/>
  <c r="F110" i="45"/>
  <c r="B110" i="45"/>
  <c r="E36" i="24"/>
  <c r="D36" i="24"/>
  <c r="G30" i="37"/>
  <c r="I30" i="37" s="1"/>
  <c r="D32" i="39"/>
  <c r="E32" i="39"/>
  <c r="F33" i="31"/>
  <c r="G33" i="31"/>
  <c r="H33" i="31"/>
  <c r="B33" i="31"/>
  <c r="I109" i="41"/>
  <c r="H109" i="41"/>
  <c r="E40" i="5"/>
  <c r="D40" i="5"/>
  <c r="E40" i="4"/>
  <c r="D40" i="4"/>
  <c r="E37" i="23"/>
  <c r="D37" i="23"/>
  <c r="D42" i="10"/>
  <c r="E42" i="10"/>
  <c r="B114" i="31"/>
  <c r="F114" i="31"/>
  <c r="G39" i="5"/>
  <c r="G37" i="25"/>
  <c r="I37" i="25" s="1"/>
  <c r="E32" i="44"/>
  <c r="D32" i="44"/>
  <c r="G30" i="40"/>
  <c r="D30" i="45"/>
  <c r="E30" i="45"/>
  <c r="E38" i="22"/>
  <c r="D38" i="22"/>
  <c r="H110" i="44"/>
  <c r="I110" i="44"/>
  <c r="D36" i="27"/>
  <c r="E36" i="27"/>
  <c r="H109" i="45"/>
  <c r="I109" i="45"/>
  <c r="G31" i="39"/>
  <c r="I31" i="39" s="1"/>
  <c r="H109" i="43"/>
  <c r="I109" i="43"/>
  <c r="I30" i="40"/>
  <c r="F111" i="44"/>
  <c r="B111" i="44"/>
  <c r="D34" i="28"/>
  <c r="E34" i="28"/>
  <c r="B112" i="13"/>
  <c r="D33" i="30"/>
  <c r="E33" i="30"/>
  <c r="D112" i="42"/>
  <c r="E112" i="42" s="1"/>
  <c r="G111" i="42"/>
  <c r="D31" i="37"/>
  <c r="E31" i="37"/>
  <c r="H32" i="30"/>
  <c r="I32" i="30" s="1"/>
  <c r="G35" i="29"/>
  <c r="F35" i="29"/>
  <c r="B35" i="29"/>
  <c r="H35" i="29"/>
  <c r="H41" i="10"/>
  <c r="I41" i="10" s="1"/>
  <c r="G41" i="6"/>
  <c r="F41" i="6"/>
  <c r="H41" i="6" s="1"/>
  <c r="I41" i="6" s="1"/>
  <c r="B41" i="6"/>
  <c r="E43" i="9"/>
  <c r="D43" i="9"/>
  <c r="G39" i="4"/>
  <c r="G30" i="38"/>
  <c r="H36" i="23"/>
  <c r="I36" i="23" s="1"/>
  <c r="I111" i="13"/>
  <c r="J111" i="13" s="1"/>
  <c r="H111" i="13"/>
  <c r="D38" i="25"/>
  <c r="E38" i="25"/>
  <c r="I33" i="28"/>
  <c r="D30" i="42"/>
  <c r="E30" i="42"/>
  <c r="F110" i="43"/>
  <c r="B110" i="43"/>
  <c r="E31" i="43"/>
  <c r="D31" i="43"/>
  <c r="D31" i="41"/>
  <c r="E31" i="41"/>
  <c r="D32" i="13"/>
  <c r="E32" i="13"/>
  <c r="G41" i="10"/>
  <c r="D43" i="7"/>
  <c r="E43" i="7"/>
  <c r="H30" i="43"/>
  <c r="I30" i="43" s="1"/>
  <c r="H39" i="3"/>
  <c r="I39" i="3" s="1"/>
  <c r="H41" i="11"/>
  <c r="F110" i="41"/>
  <c r="B110" i="41"/>
  <c r="G42" i="9"/>
  <c r="I42" i="9" s="1"/>
  <c r="H39" i="5"/>
  <c r="I39" i="5" s="1"/>
  <c r="J110" i="42"/>
  <c r="D111" i="39"/>
  <c r="E111" i="39"/>
  <c r="G110" i="39"/>
  <c r="H39" i="4"/>
  <c r="H30" i="38"/>
  <c r="I30" i="38" s="1"/>
  <c r="E112" i="13"/>
  <c r="F112" i="13" s="1"/>
  <c r="J109" i="40" l="1"/>
  <c r="E122" i="7"/>
  <c r="G121" i="7"/>
  <c r="D122" i="7"/>
  <c r="E119" i="3"/>
  <c r="D119" i="3"/>
  <c r="G118" i="3"/>
  <c r="J116" i="25"/>
  <c r="D119" i="4"/>
  <c r="E119" i="4"/>
  <c r="G118" i="4"/>
  <c r="D111" i="40"/>
  <c r="E111" i="40"/>
  <c r="G110" i="40"/>
  <c r="H110" i="38"/>
  <c r="I110" i="38"/>
  <c r="J110" i="38" s="1"/>
  <c r="D118" i="22"/>
  <c r="E118" i="22"/>
  <c r="G117" i="22"/>
  <c r="J115" i="23"/>
  <c r="G119" i="8"/>
  <c r="D120" i="8"/>
  <c r="E120" i="8"/>
  <c r="D114" i="28"/>
  <c r="E114" i="28"/>
  <c r="G113" i="28"/>
  <c r="J120" i="7"/>
  <c r="D120" i="6"/>
  <c r="G119" i="6"/>
  <c r="E120" i="6"/>
  <c r="G116" i="23"/>
  <c r="D117" i="23"/>
  <c r="E117" i="23"/>
  <c r="G112" i="30"/>
  <c r="D113" i="30"/>
  <c r="E113" i="30"/>
  <c r="G115" i="24"/>
  <c r="D116" i="24"/>
  <c r="E116" i="24"/>
  <c r="F111" i="38"/>
  <c r="B111" i="38"/>
  <c r="G110" i="37"/>
  <c r="E111" i="37"/>
  <c r="D111" i="37"/>
  <c r="D121" i="9"/>
  <c r="E121" i="9"/>
  <c r="G120" i="9"/>
  <c r="D121" i="11"/>
  <c r="G120" i="11"/>
  <c r="E121" i="11"/>
  <c r="J109" i="45"/>
  <c r="J110" i="44"/>
  <c r="J118" i="6"/>
  <c r="E115" i="27"/>
  <c r="G114" i="27"/>
  <c r="D115" i="27"/>
  <c r="G121" i="10"/>
  <c r="E122" i="10"/>
  <c r="D122" i="10"/>
  <c r="D118" i="25"/>
  <c r="G117" i="25"/>
  <c r="E118" i="25"/>
  <c r="E119" i="5"/>
  <c r="D119" i="5"/>
  <c r="G118" i="5"/>
  <c r="J118" i="8"/>
  <c r="J113" i="31"/>
  <c r="F115" i="29"/>
  <c r="B115" i="29"/>
  <c r="H114" i="29"/>
  <c r="I114" i="29"/>
  <c r="J114" i="29" s="1"/>
  <c r="G112" i="13"/>
  <c r="D113" i="13"/>
  <c r="E113" i="13" s="1"/>
  <c r="B31" i="41"/>
  <c r="F31" i="41"/>
  <c r="G31" i="41" s="1"/>
  <c r="B34" i="28"/>
  <c r="F34" i="28"/>
  <c r="H34" i="28" s="1"/>
  <c r="H40" i="4"/>
  <c r="I40" i="4" s="1"/>
  <c r="F40" i="4"/>
  <c r="G40" i="4"/>
  <c r="B40" i="4"/>
  <c r="F31" i="37"/>
  <c r="B31" i="37"/>
  <c r="D112" i="44"/>
  <c r="E112" i="44" s="1"/>
  <c r="G111" i="44"/>
  <c r="F38" i="22"/>
  <c r="G38" i="22" s="1"/>
  <c r="B38" i="22"/>
  <c r="H30" i="45"/>
  <c r="B30" i="45"/>
  <c r="F30" i="45"/>
  <c r="G30" i="45"/>
  <c r="F36" i="24"/>
  <c r="H36" i="24"/>
  <c r="B36" i="24"/>
  <c r="F40" i="8"/>
  <c r="H40" i="8" s="1"/>
  <c r="B40" i="8"/>
  <c r="B42" i="11"/>
  <c r="G42" i="11"/>
  <c r="F42" i="11"/>
  <c r="H42" i="11"/>
  <c r="B33" i="30"/>
  <c r="G33" i="30"/>
  <c r="F33" i="30"/>
  <c r="H33" i="30" s="1"/>
  <c r="I33" i="30" s="1"/>
  <c r="B38" i="25"/>
  <c r="F38" i="25"/>
  <c r="G38" i="25" s="1"/>
  <c r="H38" i="25"/>
  <c r="B40" i="5"/>
  <c r="F40" i="5"/>
  <c r="H40" i="5"/>
  <c r="I40" i="5" s="1"/>
  <c r="G40" i="5"/>
  <c r="H110" i="39"/>
  <c r="I110" i="39"/>
  <c r="F111" i="39"/>
  <c r="B111" i="39"/>
  <c r="D111" i="43"/>
  <c r="G110" i="43"/>
  <c r="E111" i="43"/>
  <c r="I35" i="29"/>
  <c r="H111" i="42"/>
  <c r="I111" i="42"/>
  <c r="F36" i="27"/>
  <c r="G36" i="27" s="1"/>
  <c r="B36" i="27"/>
  <c r="H32" i="44"/>
  <c r="B32" i="44"/>
  <c r="F32" i="44"/>
  <c r="G32" i="44" s="1"/>
  <c r="I33" i="31"/>
  <c r="G114" i="31"/>
  <c r="D115" i="31"/>
  <c r="E115" i="31"/>
  <c r="I39" i="4"/>
  <c r="F43" i="7"/>
  <c r="H43" i="7"/>
  <c r="B43" i="7"/>
  <c r="F43" i="9"/>
  <c r="B43" i="9"/>
  <c r="B112" i="42"/>
  <c r="F112" i="42"/>
  <c r="G110" i="45"/>
  <c r="D111" i="45"/>
  <c r="E111" i="45" s="1"/>
  <c r="H40" i="3"/>
  <c r="G40" i="3"/>
  <c r="F40" i="3"/>
  <c r="B40" i="3"/>
  <c r="F31" i="43"/>
  <c r="H31" i="43"/>
  <c r="G31" i="43"/>
  <c r="B31" i="43"/>
  <c r="I41" i="11"/>
  <c r="G32" i="13"/>
  <c r="B32" i="13"/>
  <c r="F32" i="13"/>
  <c r="F30" i="42"/>
  <c r="G30" i="42" s="1"/>
  <c r="H30" i="42"/>
  <c r="B30" i="42"/>
  <c r="D36" i="29"/>
  <c r="E36" i="29"/>
  <c r="J109" i="43"/>
  <c r="F42" i="10"/>
  <c r="G42" i="10" s="1"/>
  <c r="B42" i="10"/>
  <c r="J109" i="41"/>
  <c r="D34" i="31"/>
  <c r="E34" i="31"/>
  <c r="B31" i="38"/>
  <c r="F31" i="38"/>
  <c r="G31" i="38" s="1"/>
  <c r="H31" i="38"/>
  <c r="B32" i="39"/>
  <c r="F32" i="39"/>
  <c r="G32" i="39" s="1"/>
  <c r="D111" i="41"/>
  <c r="G110" i="41"/>
  <c r="E111" i="41"/>
  <c r="D42" i="6"/>
  <c r="E42" i="6"/>
  <c r="F37" i="23"/>
  <c r="G37" i="23" s="1"/>
  <c r="B37" i="23"/>
  <c r="F31" i="40"/>
  <c r="G31" i="40" s="1"/>
  <c r="B31" i="40"/>
  <c r="B119" i="5" l="1"/>
  <c r="F119" i="5"/>
  <c r="B118" i="25"/>
  <c r="F118" i="25"/>
  <c r="F115" i="27"/>
  <c r="B115" i="27"/>
  <c r="F121" i="11"/>
  <c r="B121" i="11"/>
  <c r="F111" i="37"/>
  <c r="B111" i="37"/>
  <c r="E112" i="38"/>
  <c r="G111" i="38"/>
  <c r="D112" i="38"/>
  <c r="B117" i="23"/>
  <c r="F117" i="23"/>
  <c r="F120" i="6"/>
  <c r="B120" i="6"/>
  <c r="F114" i="28"/>
  <c r="B114" i="28"/>
  <c r="F111" i="40"/>
  <c r="B111" i="40"/>
  <c r="B122" i="7"/>
  <c r="F122" i="7"/>
  <c r="F122" i="10"/>
  <c r="B122" i="10"/>
  <c r="I114" i="27"/>
  <c r="J114" i="27" s="1"/>
  <c r="H114" i="27"/>
  <c r="I120" i="9"/>
  <c r="H120" i="9"/>
  <c r="B113" i="30"/>
  <c r="F113" i="30"/>
  <c r="I116" i="23"/>
  <c r="H116" i="23"/>
  <c r="H117" i="22"/>
  <c r="I117" i="22"/>
  <c r="H118" i="4"/>
  <c r="I118" i="4"/>
  <c r="J118" i="4" s="1"/>
  <c r="I118" i="3"/>
  <c r="J118" i="3" s="1"/>
  <c r="H118" i="3"/>
  <c r="H121" i="7"/>
  <c r="I121" i="7"/>
  <c r="J121" i="7" s="1"/>
  <c r="H110" i="37"/>
  <c r="I110" i="37"/>
  <c r="F116" i="24"/>
  <c r="B116" i="24"/>
  <c r="I112" i="30"/>
  <c r="J112" i="30" s="1"/>
  <c r="H112" i="30"/>
  <c r="H113" i="28"/>
  <c r="I113" i="28"/>
  <c r="J113" i="28" s="1"/>
  <c r="B120" i="8"/>
  <c r="F120" i="8"/>
  <c r="H110" i="40"/>
  <c r="I110" i="40"/>
  <c r="J110" i="40" s="1"/>
  <c r="B119" i="3"/>
  <c r="F119" i="3"/>
  <c r="I118" i="5"/>
  <c r="H118" i="5"/>
  <c r="I117" i="25"/>
  <c r="J117" i="25" s="1"/>
  <c r="H117" i="25"/>
  <c r="I121" i="10"/>
  <c r="H121" i="10"/>
  <c r="I120" i="11"/>
  <c r="J120" i="11" s="1"/>
  <c r="H120" i="11"/>
  <c r="B121" i="9"/>
  <c r="F121" i="9"/>
  <c r="H115" i="24"/>
  <c r="I115" i="24"/>
  <c r="I119" i="6"/>
  <c r="H119" i="6"/>
  <c r="I119" i="8"/>
  <c r="J119" i="8" s="1"/>
  <c r="H119" i="8"/>
  <c r="F118" i="22"/>
  <c r="B118" i="22"/>
  <c r="B119" i="4"/>
  <c r="F119" i="4"/>
  <c r="E116" i="29"/>
  <c r="G115" i="29"/>
  <c r="D116" i="29"/>
  <c r="I110" i="45"/>
  <c r="H110" i="45"/>
  <c r="I32" i="44"/>
  <c r="D112" i="39"/>
  <c r="E112" i="39"/>
  <c r="G111" i="39"/>
  <c r="D32" i="37"/>
  <c r="E32" i="37"/>
  <c r="I110" i="41"/>
  <c r="H110" i="41"/>
  <c r="H32" i="39"/>
  <c r="I32" i="39" s="1"/>
  <c r="F34" i="31"/>
  <c r="H34" i="31" s="1"/>
  <c r="I34" i="31" s="1"/>
  <c r="B34" i="31"/>
  <c r="G34" i="31"/>
  <c r="E41" i="3"/>
  <c r="D41" i="3"/>
  <c r="J110" i="39"/>
  <c r="D41" i="5"/>
  <c r="E41" i="5"/>
  <c r="D31" i="45"/>
  <c r="E31" i="45"/>
  <c r="D41" i="4"/>
  <c r="E41" i="4"/>
  <c r="I114" i="31"/>
  <c r="H114" i="31"/>
  <c r="I30" i="42"/>
  <c r="H42" i="10"/>
  <c r="I42" i="10" s="1"/>
  <c r="D31" i="42"/>
  <c r="E31" i="42"/>
  <c r="I31" i="43"/>
  <c r="I40" i="3"/>
  <c r="G112" i="42"/>
  <c r="D113" i="42"/>
  <c r="E113" i="42" s="1"/>
  <c r="E44" i="7"/>
  <c r="D44" i="7"/>
  <c r="E37" i="27"/>
  <c r="D37" i="27"/>
  <c r="F111" i="43"/>
  <c r="B111" i="43"/>
  <c r="D37" i="24"/>
  <c r="E37" i="24"/>
  <c r="I30" i="45"/>
  <c r="I111" i="44"/>
  <c r="H111" i="44"/>
  <c r="I31" i="38"/>
  <c r="I110" i="43"/>
  <c r="J110" i="43" s="1"/>
  <c r="H110" i="43"/>
  <c r="D32" i="41"/>
  <c r="E32" i="41"/>
  <c r="H37" i="23"/>
  <c r="I37" i="23" s="1"/>
  <c r="D33" i="13"/>
  <c r="E33" i="13" s="1"/>
  <c r="D32" i="43"/>
  <c r="E32" i="43"/>
  <c r="G43" i="7"/>
  <c r="I43" i="7" s="1"/>
  <c r="H36" i="27"/>
  <c r="I36" i="27" s="1"/>
  <c r="I42" i="11"/>
  <c r="G40" i="8"/>
  <c r="I40" i="8" s="1"/>
  <c r="G36" i="24"/>
  <c r="H38" i="22"/>
  <c r="I38" i="22" s="1"/>
  <c r="B112" i="44"/>
  <c r="F112" i="44"/>
  <c r="H31" i="41"/>
  <c r="I31" i="41" s="1"/>
  <c r="F111" i="41"/>
  <c r="B111" i="41"/>
  <c r="I36" i="24"/>
  <c r="H31" i="40"/>
  <c r="I31" i="40" s="1"/>
  <c r="B42" i="6"/>
  <c r="H42" i="6"/>
  <c r="I42" i="6" s="1"/>
  <c r="G42" i="6"/>
  <c r="F42" i="6"/>
  <c r="D32" i="38"/>
  <c r="E32" i="38"/>
  <c r="H32" i="13"/>
  <c r="I32" i="13" s="1"/>
  <c r="J111" i="42"/>
  <c r="D43" i="11"/>
  <c r="E43" i="11"/>
  <c r="D44" i="9"/>
  <c r="E44" i="9"/>
  <c r="D32" i="40"/>
  <c r="E32" i="40"/>
  <c r="E38" i="23"/>
  <c r="D38" i="23"/>
  <c r="D43" i="10"/>
  <c r="E43" i="10"/>
  <c r="G43" i="9"/>
  <c r="E33" i="44"/>
  <c r="D33" i="44"/>
  <c r="I38" i="25"/>
  <c r="D41" i="8"/>
  <c r="E41" i="8"/>
  <c r="G31" i="37"/>
  <c r="D35" i="28"/>
  <c r="E35" i="28"/>
  <c r="F113" i="13"/>
  <c r="B113" i="13"/>
  <c r="D33" i="39"/>
  <c r="E33" i="39"/>
  <c r="F36" i="29"/>
  <c r="B36" i="29"/>
  <c r="H36" i="29"/>
  <c r="F111" i="45"/>
  <c r="B111" i="45"/>
  <c r="H43" i="9"/>
  <c r="B115" i="31"/>
  <c r="F115" i="31"/>
  <c r="D39" i="25"/>
  <c r="E39" i="25"/>
  <c r="D34" i="30"/>
  <c r="E34" i="30"/>
  <c r="D39" i="22"/>
  <c r="E39" i="22"/>
  <c r="H31" i="37"/>
  <c r="I31" i="37" s="1"/>
  <c r="G34" i="28"/>
  <c r="I34" i="28" s="1"/>
  <c r="H112" i="13"/>
  <c r="I112" i="13"/>
  <c r="J110" i="45" l="1"/>
  <c r="G118" i="22"/>
  <c r="D119" i="22"/>
  <c r="E119" i="22"/>
  <c r="J119" i="6"/>
  <c r="J121" i="10"/>
  <c r="J118" i="5"/>
  <c r="D117" i="24"/>
  <c r="G116" i="24"/>
  <c r="E117" i="24"/>
  <c r="J116" i="23"/>
  <c r="J120" i="9"/>
  <c r="G122" i="10"/>
  <c r="E123" i="10"/>
  <c r="D123" i="10"/>
  <c r="G111" i="40"/>
  <c r="E112" i="40"/>
  <c r="D112" i="40"/>
  <c r="D121" i="6"/>
  <c r="G120" i="6"/>
  <c r="E121" i="6"/>
  <c r="H111" i="38"/>
  <c r="I111" i="38"/>
  <c r="G118" i="25"/>
  <c r="D119" i="25"/>
  <c r="E119" i="25"/>
  <c r="D120" i="4"/>
  <c r="G119" i="4"/>
  <c r="E120" i="4"/>
  <c r="J115" i="24"/>
  <c r="G119" i="3"/>
  <c r="E120" i="3"/>
  <c r="D120" i="3"/>
  <c r="G120" i="8"/>
  <c r="D121" i="8"/>
  <c r="E121" i="8"/>
  <c r="J110" i="37"/>
  <c r="J117" i="22"/>
  <c r="E114" i="30"/>
  <c r="D114" i="30"/>
  <c r="G113" i="30"/>
  <c r="E123" i="7"/>
  <c r="G122" i="7"/>
  <c r="D123" i="7"/>
  <c r="E118" i="23"/>
  <c r="G117" i="23"/>
  <c r="D118" i="23"/>
  <c r="D122" i="11"/>
  <c r="E122" i="11"/>
  <c r="G121" i="11"/>
  <c r="D115" i="28"/>
  <c r="E115" i="28"/>
  <c r="G114" i="28"/>
  <c r="D120" i="5"/>
  <c r="G119" i="5"/>
  <c r="E120" i="5"/>
  <c r="E122" i="9"/>
  <c r="G121" i="9"/>
  <c r="D122" i="9"/>
  <c r="F112" i="38"/>
  <c r="B112" i="38"/>
  <c r="E112" i="37"/>
  <c r="D112" i="37"/>
  <c r="G111" i="37"/>
  <c r="D116" i="27"/>
  <c r="G115" i="27"/>
  <c r="E116" i="27"/>
  <c r="I115" i="29"/>
  <c r="H115" i="29"/>
  <c r="J112" i="13"/>
  <c r="F116" i="29"/>
  <c r="B116" i="29"/>
  <c r="F44" i="7"/>
  <c r="G44" i="7"/>
  <c r="B44" i="7"/>
  <c r="D112" i="45"/>
  <c r="E112" i="45" s="1"/>
  <c r="G111" i="45"/>
  <c r="J114" i="31"/>
  <c r="B33" i="39"/>
  <c r="F33" i="39"/>
  <c r="F41" i="8"/>
  <c r="B41" i="8"/>
  <c r="B43" i="10"/>
  <c r="F43" i="10"/>
  <c r="G43" i="10" s="1"/>
  <c r="G112" i="44"/>
  <c r="D113" i="44"/>
  <c r="G111" i="43"/>
  <c r="D112" i="43"/>
  <c r="E112" i="43"/>
  <c r="F113" i="42"/>
  <c r="B113" i="42"/>
  <c r="F43" i="11"/>
  <c r="G43" i="11"/>
  <c r="B43" i="11"/>
  <c r="H43" i="11"/>
  <c r="I43" i="11" s="1"/>
  <c r="H39" i="25"/>
  <c r="F39" i="25"/>
  <c r="B39" i="25"/>
  <c r="I36" i="29"/>
  <c r="D114" i="13"/>
  <c r="E114" i="13" s="1"/>
  <c r="G113" i="13"/>
  <c r="F32" i="40"/>
  <c r="G32" i="40"/>
  <c r="B32" i="40"/>
  <c r="H32" i="40"/>
  <c r="B33" i="13"/>
  <c r="F33" i="13"/>
  <c r="H33" i="13"/>
  <c r="G33" i="13"/>
  <c r="J111" i="44"/>
  <c r="H37" i="27"/>
  <c r="B37" i="27"/>
  <c r="G37" i="27"/>
  <c r="F37" i="27"/>
  <c r="I112" i="42"/>
  <c r="H112" i="42"/>
  <c r="H41" i="4"/>
  <c r="F41" i="4"/>
  <c r="B41" i="4"/>
  <c r="G41" i="4"/>
  <c r="B112" i="39"/>
  <c r="F112" i="39"/>
  <c r="F34" i="30"/>
  <c r="G34" i="30"/>
  <c r="B34" i="30"/>
  <c r="H34" i="30"/>
  <c r="B32" i="43"/>
  <c r="H32" i="43"/>
  <c r="F32" i="43"/>
  <c r="G115" i="31"/>
  <c r="D116" i="31"/>
  <c r="E116" i="31"/>
  <c r="F33" i="44"/>
  <c r="H33" i="44"/>
  <c r="B33" i="44"/>
  <c r="F32" i="38"/>
  <c r="H32" i="38"/>
  <c r="I32" i="38" s="1"/>
  <c r="B32" i="38"/>
  <c r="G32" i="38"/>
  <c r="F32" i="37"/>
  <c r="B32" i="37"/>
  <c r="B31" i="42"/>
  <c r="F31" i="42"/>
  <c r="H31" i="42"/>
  <c r="B38" i="23"/>
  <c r="F38" i="23"/>
  <c r="H38" i="23" s="1"/>
  <c r="H41" i="5"/>
  <c r="I41" i="5" s="1"/>
  <c r="F41" i="5"/>
  <c r="G41" i="5"/>
  <c r="B41" i="5"/>
  <c r="F39" i="22"/>
  <c r="B39" i="22"/>
  <c r="G39" i="22"/>
  <c r="H39" i="22"/>
  <c r="D37" i="29"/>
  <c r="E37" i="29"/>
  <c r="F35" i="28"/>
  <c r="G35" i="28"/>
  <c r="H35" i="28"/>
  <c r="I35" i="28" s="1"/>
  <c r="B35" i="28"/>
  <c r="G44" i="9"/>
  <c r="F44" i="9"/>
  <c r="H44" i="9" s="1"/>
  <c r="I44" i="9" s="1"/>
  <c r="B44" i="9"/>
  <c r="D43" i="6"/>
  <c r="E43" i="6"/>
  <c r="B31" i="45"/>
  <c r="F31" i="45"/>
  <c r="G31" i="45"/>
  <c r="F41" i="3"/>
  <c r="H41" i="3" s="1"/>
  <c r="I41" i="3" s="1"/>
  <c r="G41" i="3"/>
  <c r="B41" i="3"/>
  <c r="J110" i="41"/>
  <c r="H111" i="39"/>
  <c r="I111" i="39"/>
  <c r="D35" i="31"/>
  <c r="E35" i="31"/>
  <c r="I43" i="9"/>
  <c r="G36" i="29"/>
  <c r="D112" i="41"/>
  <c r="G111" i="41"/>
  <c r="E112" i="41"/>
  <c r="H32" i="41"/>
  <c r="F32" i="41"/>
  <c r="G32" i="41" s="1"/>
  <c r="B32" i="41"/>
  <c r="F37" i="24"/>
  <c r="G37" i="24"/>
  <c r="B37" i="24"/>
  <c r="J111" i="38" l="1"/>
  <c r="J111" i="39"/>
  <c r="H111" i="37"/>
  <c r="I111" i="37"/>
  <c r="J111" i="37" s="1"/>
  <c r="D113" i="38"/>
  <c r="E113" i="38"/>
  <c r="G112" i="38"/>
  <c r="B122" i="11"/>
  <c r="F122" i="11"/>
  <c r="B123" i="7"/>
  <c r="F123" i="7"/>
  <c r="B114" i="30"/>
  <c r="F114" i="30"/>
  <c r="H119" i="4"/>
  <c r="I119" i="4"/>
  <c r="H118" i="25"/>
  <c r="I118" i="25"/>
  <c r="I120" i="6"/>
  <c r="J120" i="6" s="1"/>
  <c r="H120" i="6"/>
  <c r="H111" i="40"/>
  <c r="I111" i="40"/>
  <c r="F117" i="24"/>
  <c r="B117" i="24"/>
  <c r="B112" i="37"/>
  <c r="F112" i="37"/>
  <c r="B122" i="9"/>
  <c r="F122" i="9"/>
  <c r="H119" i="5"/>
  <c r="I119" i="5"/>
  <c r="B115" i="28"/>
  <c r="F115" i="28"/>
  <c r="F118" i="23"/>
  <c r="B118" i="23"/>
  <c r="H122" i="7"/>
  <c r="I122" i="7"/>
  <c r="F121" i="8"/>
  <c r="B121" i="8"/>
  <c r="I119" i="3"/>
  <c r="J119" i="3" s="1"/>
  <c r="H119" i="3"/>
  <c r="F120" i="4"/>
  <c r="B120" i="4"/>
  <c r="B121" i="6"/>
  <c r="F121" i="6"/>
  <c r="F123" i="10"/>
  <c r="B123" i="10"/>
  <c r="B119" i="22"/>
  <c r="F119" i="22"/>
  <c r="H115" i="27"/>
  <c r="I115" i="27"/>
  <c r="J115" i="27" s="1"/>
  <c r="H121" i="9"/>
  <c r="I121" i="9"/>
  <c r="B120" i="5"/>
  <c r="F120" i="5"/>
  <c r="H121" i="11"/>
  <c r="I121" i="11"/>
  <c r="H117" i="23"/>
  <c r="I117" i="23"/>
  <c r="J117" i="23" s="1"/>
  <c r="H120" i="8"/>
  <c r="I120" i="8"/>
  <c r="F112" i="40"/>
  <c r="B112" i="40"/>
  <c r="H118" i="22"/>
  <c r="I118" i="22"/>
  <c r="F116" i="27"/>
  <c r="B116" i="27"/>
  <c r="H114" i="28"/>
  <c r="I114" i="28"/>
  <c r="H113" i="30"/>
  <c r="I113" i="30"/>
  <c r="J113" i="30" s="1"/>
  <c r="F120" i="3"/>
  <c r="B120" i="3"/>
  <c r="B119" i="25"/>
  <c r="F119" i="25"/>
  <c r="I122" i="10"/>
  <c r="J122" i="10" s="1"/>
  <c r="H122" i="10"/>
  <c r="I116" i="24"/>
  <c r="H116" i="24"/>
  <c r="E117" i="29"/>
  <c r="G116" i="29"/>
  <c r="D117" i="29"/>
  <c r="J115" i="29"/>
  <c r="D32" i="45"/>
  <c r="E32" i="45"/>
  <c r="D42" i="8"/>
  <c r="E42" i="8"/>
  <c r="D45" i="7"/>
  <c r="E45" i="7"/>
  <c r="D38" i="24"/>
  <c r="E38" i="24"/>
  <c r="I111" i="41"/>
  <c r="H111" i="41"/>
  <c r="F37" i="29"/>
  <c r="B37" i="29"/>
  <c r="I34" i="30"/>
  <c r="I32" i="41"/>
  <c r="G38" i="23"/>
  <c r="I38" i="23" s="1"/>
  <c r="E32" i="42"/>
  <c r="D32" i="42"/>
  <c r="D34" i="44"/>
  <c r="E34" i="44"/>
  <c r="I37" i="27"/>
  <c r="I113" i="13"/>
  <c r="H113" i="13"/>
  <c r="G113" i="42"/>
  <c r="D114" i="42"/>
  <c r="E114" i="42" s="1"/>
  <c r="H43" i="10"/>
  <c r="I43" i="10" s="1"/>
  <c r="E34" i="39"/>
  <c r="D34" i="39"/>
  <c r="I111" i="45"/>
  <c r="J111" i="45" s="1"/>
  <c r="H111" i="45"/>
  <c r="B112" i="41"/>
  <c r="F112" i="41"/>
  <c r="H31" i="45"/>
  <c r="I31" i="45" s="1"/>
  <c r="I39" i="22"/>
  <c r="D42" i="5"/>
  <c r="E42" i="5"/>
  <c r="G31" i="42"/>
  <c r="D42" i="4"/>
  <c r="E42" i="4"/>
  <c r="I32" i="40"/>
  <c r="F114" i="13"/>
  <c r="B114" i="13"/>
  <c r="E44" i="11"/>
  <c r="D44" i="11"/>
  <c r="H33" i="39"/>
  <c r="F112" i="45"/>
  <c r="B112" i="45"/>
  <c r="E39" i="23"/>
  <c r="D39" i="23"/>
  <c r="D33" i="37"/>
  <c r="E33" i="37"/>
  <c r="H112" i="44"/>
  <c r="I112" i="44"/>
  <c r="I31" i="42"/>
  <c r="B43" i="6"/>
  <c r="F43" i="6"/>
  <c r="G43" i="6"/>
  <c r="H43" i="6"/>
  <c r="B112" i="43"/>
  <c r="F112" i="43"/>
  <c r="D44" i="10"/>
  <c r="E44" i="10"/>
  <c r="G33" i="39"/>
  <c r="F35" i="31"/>
  <c r="G35" i="31"/>
  <c r="H35" i="31"/>
  <c r="I35" i="31" s="1"/>
  <c r="B35" i="31"/>
  <c r="D36" i="28"/>
  <c r="E36" i="28"/>
  <c r="D40" i="22"/>
  <c r="E40" i="22"/>
  <c r="H32" i="37"/>
  <c r="I32" i="37" s="1"/>
  <c r="D33" i="38"/>
  <c r="E33" i="38"/>
  <c r="D33" i="43"/>
  <c r="E33" i="43"/>
  <c r="E113" i="39"/>
  <c r="D113" i="39"/>
  <c r="G112" i="39"/>
  <c r="J112" i="42"/>
  <c r="D34" i="13"/>
  <c r="E34" i="13"/>
  <c r="D33" i="40"/>
  <c r="E33" i="40"/>
  <c r="D40" i="25"/>
  <c r="E40" i="25"/>
  <c r="B113" i="44"/>
  <c r="H41" i="8"/>
  <c r="I41" i="8" s="1"/>
  <c r="F116" i="31"/>
  <c r="B116" i="31"/>
  <c r="I41" i="4"/>
  <c r="I115" i="31"/>
  <c r="H115" i="31"/>
  <c r="D35" i="30"/>
  <c r="E35" i="30"/>
  <c r="I33" i="13"/>
  <c r="I111" i="43"/>
  <c r="H111" i="43"/>
  <c r="H37" i="24"/>
  <c r="I37" i="24" s="1"/>
  <c r="E33" i="41"/>
  <c r="D33" i="41"/>
  <c r="D42" i="3"/>
  <c r="E42" i="3"/>
  <c r="E45" i="9"/>
  <c r="D45" i="9"/>
  <c r="G32" i="37"/>
  <c r="G33" i="44"/>
  <c r="I33" i="44" s="1"/>
  <c r="G32" i="43"/>
  <c r="I32" i="43" s="1"/>
  <c r="D38" i="27"/>
  <c r="E38" i="27"/>
  <c r="G39" i="25"/>
  <c r="I39" i="25" s="1"/>
  <c r="E113" i="44"/>
  <c r="F113" i="44" s="1"/>
  <c r="G41" i="8"/>
  <c r="H44" i="7"/>
  <c r="I44" i="7" s="1"/>
  <c r="D120" i="25" l="1"/>
  <c r="G119" i="25"/>
  <c r="E120" i="25"/>
  <c r="D121" i="5"/>
  <c r="G120" i="5"/>
  <c r="E121" i="5"/>
  <c r="J119" i="5"/>
  <c r="G112" i="37"/>
  <c r="E113" i="37"/>
  <c r="D113" i="37"/>
  <c r="J111" i="40"/>
  <c r="J118" i="25"/>
  <c r="G114" i="30"/>
  <c r="D115" i="30"/>
  <c r="E115" i="30"/>
  <c r="G122" i="11"/>
  <c r="E123" i="11"/>
  <c r="D123" i="11"/>
  <c r="B113" i="38"/>
  <c r="F113" i="38"/>
  <c r="J116" i="24"/>
  <c r="G116" i="27"/>
  <c r="E117" i="27"/>
  <c r="D117" i="27"/>
  <c r="E113" i="40"/>
  <c r="G112" i="40"/>
  <c r="D113" i="40"/>
  <c r="D124" i="10"/>
  <c r="E124" i="10"/>
  <c r="G123" i="10"/>
  <c r="D121" i="4"/>
  <c r="G120" i="4"/>
  <c r="E121" i="4"/>
  <c r="E122" i="8"/>
  <c r="D122" i="8"/>
  <c r="G121" i="8"/>
  <c r="D119" i="23"/>
  <c r="E119" i="23"/>
  <c r="G118" i="23"/>
  <c r="J114" i="28"/>
  <c r="J118" i="22"/>
  <c r="J120" i="8"/>
  <c r="J121" i="11"/>
  <c r="J121" i="9"/>
  <c r="D120" i="22"/>
  <c r="G119" i="22"/>
  <c r="E120" i="22"/>
  <c r="G121" i="6"/>
  <c r="D122" i="6"/>
  <c r="E122" i="6"/>
  <c r="J122" i="7"/>
  <c r="G115" i="28"/>
  <c r="D116" i="28"/>
  <c r="E116" i="28"/>
  <c r="E123" i="9"/>
  <c r="G122" i="9"/>
  <c r="D123" i="9"/>
  <c r="J119" i="4"/>
  <c r="G123" i="7"/>
  <c r="E124" i="7"/>
  <c r="D124" i="7"/>
  <c r="I112" i="38"/>
  <c r="H112" i="38"/>
  <c r="E121" i="3"/>
  <c r="G120" i="3"/>
  <c r="D121" i="3"/>
  <c r="E118" i="24"/>
  <c r="D118" i="24"/>
  <c r="G117" i="24"/>
  <c r="F117" i="29"/>
  <c r="B117" i="29"/>
  <c r="H116" i="29"/>
  <c r="I116" i="29"/>
  <c r="G113" i="44"/>
  <c r="D114" i="44"/>
  <c r="E114" i="44" s="1"/>
  <c r="F34" i="13"/>
  <c r="G34" i="13" s="1"/>
  <c r="B34" i="13"/>
  <c r="D38" i="29"/>
  <c r="E38" i="29"/>
  <c r="D113" i="43"/>
  <c r="G112" i="43"/>
  <c r="E113" i="43"/>
  <c r="G112" i="45"/>
  <c r="D113" i="45"/>
  <c r="H42" i="4"/>
  <c r="I42" i="4" s="1"/>
  <c r="F42" i="4"/>
  <c r="G42" i="4"/>
  <c r="B42" i="4"/>
  <c r="G34" i="44"/>
  <c r="B34" i="44"/>
  <c r="H34" i="44"/>
  <c r="F34" i="44"/>
  <c r="F44" i="10"/>
  <c r="G44" i="10"/>
  <c r="B44" i="10"/>
  <c r="H44" i="10"/>
  <c r="B38" i="27"/>
  <c r="G38" i="27"/>
  <c r="F38" i="27"/>
  <c r="H112" i="39"/>
  <c r="I112" i="39"/>
  <c r="I33" i="39"/>
  <c r="B34" i="39"/>
  <c r="F34" i="39"/>
  <c r="G34" i="39"/>
  <c r="H34" i="39"/>
  <c r="I34" i="39" s="1"/>
  <c r="J113" i="13"/>
  <c r="J111" i="41"/>
  <c r="B32" i="45"/>
  <c r="G32" i="45"/>
  <c r="F32" i="45"/>
  <c r="F33" i="38"/>
  <c r="G33" i="38" s="1"/>
  <c r="B33" i="38"/>
  <c r="B35" i="30"/>
  <c r="F35" i="30"/>
  <c r="F113" i="39"/>
  <c r="B113" i="39"/>
  <c r="D36" i="31"/>
  <c r="E36" i="31"/>
  <c r="I43" i="6"/>
  <c r="F33" i="37"/>
  <c r="H33" i="37" s="1"/>
  <c r="I33" i="37" s="1"/>
  <c r="G33" i="37"/>
  <c r="B33" i="37"/>
  <c r="B44" i="11"/>
  <c r="H44" i="11"/>
  <c r="I44" i="11" s="1"/>
  <c r="F44" i="11"/>
  <c r="G44" i="11"/>
  <c r="B36" i="28"/>
  <c r="F36" i="28"/>
  <c r="H36" i="28"/>
  <c r="I36" i="28" s="1"/>
  <c r="G36" i="28"/>
  <c r="F33" i="41"/>
  <c r="G33" i="41"/>
  <c r="B33" i="41"/>
  <c r="H33" i="41"/>
  <c r="F40" i="25"/>
  <c r="B40" i="25"/>
  <c r="F39" i="23"/>
  <c r="G39" i="23" s="1"/>
  <c r="B39" i="23"/>
  <c r="B42" i="5"/>
  <c r="F42" i="5"/>
  <c r="G42" i="5" s="1"/>
  <c r="F38" i="24"/>
  <c r="B38" i="24"/>
  <c r="F32" i="42"/>
  <c r="G32" i="42" s="1"/>
  <c r="B32" i="42"/>
  <c r="F45" i="9"/>
  <c r="G45" i="9"/>
  <c r="B45" i="9"/>
  <c r="H45" i="9"/>
  <c r="I45" i="9" s="1"/>
  <c r="J115" i="31"/>
  <c r="F40" i="22"/>
  <c r="G40" i="22" s="1"/>
  <c r="B40" i="22"/>
  <c r="D44" i="6"/>
  <c r="E44" i="6"/>
  <c r="B114" i="42"/>
  <c r="F114" i="42"/>
  <c r="H37" i="29"/>
  <c r="D113" i="41"/>
  <c r="G112" i="41"/>
  <c r="E113" i="41"/>
  <c r="J111" i="43"/>
  <c r="G116" i="31"/>
  <c r="D117" i="31"/>
  <c r="E117" i="31"/>
  <c r="B42" i="8"/>
  <c r="F42" i="8"/>
  <c r="H42" i="8"/>
  <c r="B42" i="3"/>
  <c r="F42" i="3"/>
  <c r="H42" i="3"/>
  <c r="I42" i="3" s="1"/>
  <c r="G42" i="3"/>
  <c r="G33" i="40"/>
  <c r="B33" i="40"/>
  <c r="F33" i="40"/>
  <c r="H33" i="40"/>
  <c r="I33" i="40" s="1"/>
  <c r="B33" i="43"/>
  <c r="F33" i="43"/>
  <c r="H33" i="43"/>
  <c r="J112" i="44"/>
  <c r="G114" i="13"/>
  <c r="D115" i="13"/>
  <c r="E115" i="13"/>
  <c r="H113" i="42"/>
  <c r="I113" i="42"/>
  <c r="G37" i="29"/>
  <c r="G45" i="7"/>
  <c r="B45" i="7"/>
  <c r="H45" i="7"/>
  <c r="I45" i="7" s="1"/>
  <c r="F45" i="7"/>
  <c r="J113" i="42" l="1"/>
  <c r="F118" i="24"/>
  <c r="B118" i="24"/>
  <c r="H122" i="9"/>
  <c r="I122" i="9"/>
  <c r="H115" i="28"/>
  <c r="I115" i="28"/>
  <c r="J115" i="28" s="1"/>
  <c r="I121" i="6"/>
  <c r="J121" i="6" s="1"/>
  <c r="H121" i="6"/>
  <c r="I121" i="8"/>
  <c r="H121" i="8"/>
  <c r="I120" i="4"/>
  <c r="J120" i="4" s="1"/>
  <c r="H120" i="4"/>
  <c r="B124" i="10"/>
  <c r="F124" i="10"/>
  <c r="B117" i="27"/>
  <c r="F117" i="27"/>
  <c r="E114" i="38"/>
  <c r="G113" i="38"/>
  <c r="D114" i="38"/>
  <c r="H122" i="11"/>
  <c r="I122" i="11"/>
  <c r="J122" i="11" s="1"/>
  <c r="H112" i="37"/>
  <c r="I112" i="37"/>
  <c r="J112" i="37" s="1"/>
  <c r="F121" i="5"/>
  <c r="B121" i="5"/>
  <c r="I123" i="7"/>
  <c r="H123" i="7"/>
  <c r="H118" i="23"/>
  <c r="I118" i="23"/>
  <c r="J118" i="23" s="1"/>
  <c r="F122" i="8"/>
  <c r="B122" i="8"/>
  <c r="B121" i="4"/>
  <c r="F121" i="4"/>
  <c r="F113" i="40"/>
  <c r="B113" i="40"/>
  <c r="B121" i="3"/>
  <c r="F121" i="3"/>
  <c r="J112" i="38"/>
  <c r="H119" i="22"/>
  <c r="I119" i="22"/>
  <c r="H123" i="10"/>
  <c r="I123" i="10"/>
  <c r="J123" i="10" s="1"/>
  <c r="I112" i="40"/>
  <c r="J112" i="40" s="1"/>
  <c r="H112" i="40"/>
  <c r="I116" i="27"/>
  <c r="J116" i="27" s="1"/>
  <c r="H116" i="27"/>
  <c r="B123" i="11"/>
  <c r="F123" i="11"/>
  <c r="F115" i="30"/>
  <c r="B115" i="30"/>
  <c r="F113" i="37"/>
  <c r="B113" i="37"/>
  <c r="H119" i="25"/>
  <c r="I119" i="25"/>
  <c r="J119" i="25" s="1"/>
  <c r="H117" i="24"/>
  <c r="I117" i="24"/>
  <c r="H120" i="3"/>
  <c r="I120" i="3"/>
  <c r="J120" i="3" s="1"/>
  <c r="B124" i="7"/>
  <c r="F124" i="7"/>
  <c r="B123" i="9"/>
  <c r="F123" i="9"/>
  <c r="F116" i="28"/>
  <c r="B116" i="28"/>
  <c r="F122" i="6"/>
  <c r="B122" i="6"/>
  <c r="F120" i="22"/>
  <c r="B120" i="22"/>
  <c r="B119" i="23"/>
  <c r="F119" i="23"/>
  <c r="I114" i="30"/>
  <c r="J114" i="30" s="1"/>
  <c r="H114" i="30"/>
  <c r="H120" i="5"/>
  <c r="I120" i="5"/>
  <c r="J120" i="5" s="1"/>
  <c r="F120" i="25"/>
  <c r="B120" i="25"/>
  <c r="E118" i="29"/>
  <c r="G117" i="29"/>
  <c r="D118" i="29"/>
  <c r="J112" i="39"/>
  <c r="J116" i="29"/>
  <c r="D115" i="42"/>
  <c r="E115" i="42" s="1"/>
  <c r="G114" i="42"/>
  <c r="D39" i="24"/>
  <c r="E39" i="24"/>
  <c r="D34" i="43"/>
  <c r="E34" i="43"/>
  <c r="I44" i="10"/>
  <c r="H112" i="45"/>
  <c r="I112" i="45"/>
  <c r="F38" i="29"/>
  <c r="H38" i="29"/>
  <c r="G38" i="29"/>
  <c r="B38" i="29"/>
  <c r="D41" i="22"/>
  <c r="E41" i="22"/>
  <c r="D43" i="5"/>
  <c r="E43" i="5"/>
  <c r="D40" i="23"/>
  <c r="E40" i="23"/>
  <c r="D34" i="38"/>
  <c r="E34" i="38"/>
  <c r="D43" i="3"/>
  <c r="E43" i="3"/>
  <c r="E46" i="9"/>
  <c r="D46" i="9"/>
  <c r="D36" i="30"/>
  <c r="E36" i="30"/>
  <c r="H42" i="5"/>
  <c r="I42" i="5" s="1"/>
  <c r="I33" i="41"/>
  <c r="H35" i="30"/>
  <c r="D45" i="10"/>
  <c r="E45" i="10"/>
  <c r="I112" i="43"/>
  <c r="H112" i="43"/>
  <c r="B113" i="45"/>
  <c r="D43" i="8"/>
  <c r="E43" i="8"/>
  <c r="F36" i="31"/>
  <c r="B36" i="31"/>
  <c r="E34" i="40"/>
  <c r="D34" i="40"/>
  <c r="G42" i="8"/>
  <c r="I42" i="8" s="1"/>
  <c r="I112" i="41"/>
  <c r="H112" i="41"/>
  <c r="F44" i="6"/>
  <c r="G44" i="6"/>
  <c r="B44" i="6"/>
  <c r="G35" i="30"/>
  <c r="D33" i="45"/>
  <c r="E33" i="45"/>
  <c r="D35" i="39"/>
  <c r="E35" i="39"/>
  <c r="D39" i="27"/>
  <c r="E39" i="27"/>
  <c r="D35" i="44"/>
  <c r="E35" i="44"/>
  <c r="D43" i="4"/>
  <c r="E43" i="4"/>
  <c r="B113" i="43"/>
  <c r="F113" i="43"/>
  <c r="H114" i="13"/>
  <c r="I114" i="13"/>
  <c r="I116" i="31"/>
  <c r="H116" i="31"/>
  <c r="D35" i="13"/>
  <c r="E35" i="13"/>
  <c r="B114" i="44"/>
  <c r="F114" i="44"/>
  <c r="D41" i="25"/>
  <c r="E41" i="25"/>
  <c r="D114" i="39"/>
  <c r="G113" i="39"/>
  <c r="E114" i="39"/>
  <c r="F113" i="41"/>
  <c r="B113" i="41"/>
  <c r="D33" i="42"/>
  <c r="E33" i="42"/>
  <c r="G38" i="24"/>
  <c r="H40" i="25"/>
  <c r="I40" i="25" s="1"/>
  <c r="I34" i="44"/>
  <c r="H34" i="13"/>
  <c r="I34" i="13" s="1"/>
  <c r="D46" i="7"/>
  <c r="E46" i="7"/>
  <c r="B115" i="13"/>
  <c r="F115" i="13"/>
  <c r="G33" i="43"/>
  <c r="I33" i="43" s="1"/>
  <c r="F117" i="31"/>
  <c r="B117" i="31"/>
  <c r="I37" i="29"/>
  <c r="H40" i="22"/>
  <c r="I40" i="22" s="1"/>
  <c r="H32" i="42"/>
  <c r="I32" i="42" s="1"/>
  <c r="H38" i="24"/>
  <c r="H39" i="23"/>
  <c r="I39" i="23" s="1"/>
  <c r="G40" i="25"/>
  <c r="D34" i="41"/>
  <c r="E34" i="41"/>
  <c r="D37" i="28"/>
  <c r="E37" i="28"/>
  <c r="D45" i="11"/>
  <c r="E45" i="11"/>
  <c r="D34" i="37"/>
  <c r="E34" i="37"/>
  <c r="H33" i="38"/>
  <c r="I33" i="38" s="1"/>
  <c r="H32" i="45"/>
  <c r="I32" i="45" s="1"/>
  <c r="H38" i="27"/>
  <c r="I38" i="27" s="1"/>
  <c r="E113" i="45"/>
  <c r="F113" i="45" s="1"/>
  <c r="H113" i="44"/>
  <c r="I113" i="44"/>
  <c r="J113" i="44" s="1"/>
  <c r="D121" i="25" l="1"/>
  <c r="G120" i="25"/>
  <c r="E121" i="25"/>
  <c r="G120" i="22"/>
  <c r="E121" i="22"/>
  <c r="D121" i="22"/>
  <c r="E117" i="28"/>
  <c r="D117" i="28"/>
  <c r="G116" i="28"/>
  <c r="E114" i="37"/>
  <c r="G113" i="37"/>
  <c r="D114" i="37"/>
  <c r="F114" i="38"/>
  <c r="B114" i="38"/>
  <c r="D120" i="23"/>
  <c r="E120" i="23"/>
  <c r="G119" i="23"/>
  <c r="E124" i="9"/>
  <c r="G123" i="9"/>
  <c r="D124" i="9"/>
  <c r="G113" i="40"/>
  <c r="D114" i="40"/>
  <c r="E114" i="40"/>
  <c r="D123" i="8"/>
  <c r="G122" i="8"/>
  <c r="E123" i="8"/>
  <c r="J123" i="7"/>
  <c r="H113" i="38"/>
  <c r="I113" i="38"/>
  <c r="E125" i="10"/>
  <c r="D125" i="10"/>
  <c r="G124" i="10"/>
  <c r="E123" i="6"/>
  <c r="G122" i="6"/>
  <c r="D123" i="6"/>
  <c r="E116" i="30"/>
  <c r="D116" i="30"/>
  <c r="G115" i="30"/>
  <c r="E122" i="3"/>
  <c r="G121" i="3"/>
  <c r="D122" i="3"/>
  <c r="D122" i="4"/>
  <c r="G121" i="4"/>
  <c r="E122" i="4"/>
  <c r="J121" i="8"/>
  <c r="E119" i="24"/>
  <c r="D119" i="24"/>
  <c r="G118" i="24"/>
  <c r="G124" i="7"/>
  <c r="D125" i="7"/>
  <c r="E125" i="7"/>
  <c r="J117" i="24"/>
  <c r="D124" i="11"/>
  <c r="E124" i="11"/>
  <c r="G123" i="11"/>
  <c r="J119" i="22"/>
  <c r="G121" i="5"/>
  <c r="E122" i="5"/>
  <c r="D122" i="5"/>
  <c r="D118" i="27"/>
  <c r="E118" i="27"/>
  <c r="G117" i="27"/>
  <c r="J122" i="9"/>
  <c r="B118" i="29"/>
  <c r="F118" i="29"/>
  <c r="H117" i="29"/>
  <c r="I117" i="29"/>
  <c r="J114" i="13"/>
  <c r="G113" i="45"/>
  <c r="D114" i="45"/>
  <c r="E114" i="45" s="1"/>
  <c r="F34" i="37"/>
  <c r="B34" i="37"/>
  <c r="D37" i="31"/>
  <c r="E37" i="31"/>
  <c r="B43" i="3"/>
  <c r="F43" i="3"/>
  <c r="G43" i="3"/>
  <c r="I38" i="24"/>
  <c r="E118" i="31"/>
  <c r="D118" i="31"/>
  <c r="G117" i="31"/>
  <c r="F35" i="13"/>
  <c r="B35" i="13"/>
  <c r="H35" i="13"/>
  <c r="F43" i="4"/>
  <c r="G43" i="4" s="1"/>
  <c r="B43" i="4"/>
  <c r="H43" i="4"/>
  <c r="F33" i="45"/>
  <c r="G33" i="45"/>
  <c r="B33" i="45"/>
  <c r="H33" i="45"/>
  <c r="I33" i="45" s="1"/>
  <c r="G36" i="31"/>
  <c r="B40" i="23"/>
  <c r="F40" i="23"/>
  <c r="H40" i="23" s="1"/>
  <c r="F45" i="11"/>
  <c r="H45" i="11"/>
  <c r="B45" i="11"/>
  <c r="G45" i="11"/>
  <c r="H36" i="31"/>
  <c r="I36" i="31" s="1"/>
  <c r="G115" i="13"/>
  <c r="D116" i="13"/>
  <c r="H113" i="39"/>
  <c r="I113" i="39"/>
  <c r="J116" i="31"/>
  <c r="H35" i="44"/>
  <c r="B35" i="44"/>
  <c r="F35" i="44"/>
  <c r="B34" i="40"/>
  <c r="F34" i="40"/>
  <c r="G34" i="40"/>
  <c r="H34" i="40"/>
  <c r="I34" i="40" s="1"/>
  <c r="J112" i="43"/>
  <c r="G46" i="9"/>
  <c r="B46" i="9"/>
  <c r="F46" i="9"/>
  <c r="H46" i="9" s="1"/>
  <c r="I46" i="9" s="1"/>
  <c r="F43" i="5"/>
  <c r="H43" i="5" s="1"/>
  <c r="B43" i="5"/>
  <c r="B37" i="28"/>
  <c r="F37" i="28"/>
  <c r="G37" i="28" s="1"/>
  <c r="H37" i="28"/>
  <c r="F114" i="39"/>
  <c r="B114" i="39"/>
  <c r="D45" i="6"/>
  <c r="E45" i="6"/>
  <c r="F39" i="24"/>
  <c r="H39" i="24"/>
  <c r="G39" i="24"/>
  <c r="B39" i="24"/>
  <c r="F33" i="42"/>
  <c r="B33" i="42"/>
  <c r="F39" i="27"/>
  <c r="G39" i="27"/>
  <c r="B39" i="27"/>
  <c r="H39" i="27"/>
  <c r="I39" i="27" s="1"/>
  <c r="H44" i="6"/>
  <c r="I44" i="6" s="1"/>
  <c r="F45" i="10"/>
  <c r="H45" i="10"/>
  <c r="G45" i="10"/>
  <c r="B45" i="10"/>
  <c r="B41" i="22"/>
  <c r="F41" i="22"/>
  <c r="G41" i="22"/>
  <c r="I38" i="29"/>
  <c r="B46" i="7"/>
  <c r="F46" i="7"/>
  <c r="G46" i="7"/>
  <c r="H46" i="7"/>
  <c r="I46" i="7" s="1"/>
  <c r="F41" i="25"/>
  <c r="G41" i="25"/>
  <c r="B41" i="25"/>
  <c r="H41" i="25"/>
  <c r="I41" i="25" s="1"/>
  <c r="G113" i="43"/>
  <c r="D114" i="43"/>
  <c r="E114" i="43"/>
  <c r="G36" i="30"/>
  <c r="F36" i="30"/>
  <c r="B36" i="30"/>
  <c r="D39" i="29"/>
  <c r="E39" i="29"/>
  <c r="H114" i="42"/>
  <c r="I114" i="42"/>
  <c r="J114" i="42" s="1"/>
  <c r="B34" i="43"/>
  <c r="F34" i="43"/>
  <c r="H34" i="43"/>
  <c r="G34" i="43"/>
  <c r="F34" i="41"/>
  <c r="B34" i="41"/>
  <c r="G34" i="41"/>
  <c r="H34" i="41"/>
  <c r="I34" i="41" s="1"/>
  <c r="D114" i="41"/>
  <c r="G113" i="41"/>
  <c r="E114" i="41"/>
  <c r="G114" i="44"/>
  <c r="D115" i="44"/>
  <c r="F35" i="39"/>
  <c r="H35" i="39"/>
  <c r="B35" i="39"/>
  <c r="J112" i="41"/>
  <c r="F43" i="8"/>
  <c r="B43" i="8"/>
  <c r="G43" i="8"/>
  <c r="I35" i="30"/>
  <c r="B34" i="38"/>
  <c r="F34" i="38"/>
  <c r="H34" i="38" s="1"/>
  <c r="J112" i="45"/>
  <c r="B115" i="42"/>
  <c r="F115" i="42"/>
  <c r="F118" i="27" l="1"/>
  <c r="B118" i="27"/>
  <c r="H118" i="24"/>
  <c r="I118" i="24"/>
  <c r="I121" i="3"/>
  <c r="J121" i="3" s="1"/>
  <c r="H121" i="3"/>
  <c r="I124" i="10"/>
  <c r="J124" i="10" s="1"/>
  <c r="H124" i="10"/>
  <c r="F123" i="8"/>
  <c r="B123" i="8"/>
  <c r="F124" i="9"/>
  <c r="B124" i="9"/>
  <c r="B114" i="37"/>
  <c r="F114" i="37"/>
  <c r="B117" i="28"/>
  <c r="F117" i="28"/>
  <c r="H120" i="22"/>
  <c r="I120" i="22"/>
  <c r="J117" i="29"/>
  <c r="F122" i="5"/>
  <c r="B122" i="5"/>
  <c r="H123" i="11"/>
  <c r="I123" i="11"/>
  <c r="J123" i="11" s="1"/>
  <c r="B119" i="24"/>
  <c r="F119" i="24"/>
  <c r="I121" i="4"/>
  <c r="H121" i="4"/>
  <c r="F123" i="6"/>
  <c r="B123" i="6"/>
  <c r="F125" i="10"/>
  <c r="B125" i="10"/>
  <c r="H123" i="9"/>
  <c r="I123" i="9"/>
  <c r="J123" i="9" s="1"/>
  <c r="B120" i="23"/>
  <c r="F120" i="23"/>
  <c r="H113" i="37"/>
  <c r="I113" i="37"/>
  <c r="J113" i="37" s="1"/>
  <c r="J113" i="39"/>
  <c r="I117" i="27"/>
  <c r="J117" i="27" s="1"/>
  <c r="H117" i="27"/>
  <c r="B125" i="7"/>
  <c r="F125" i="7"/>
  <c r="F122" i="4"/>
  <c r="B122" i="4"/>
  <c r="H115" i="30"/>
  <c r="I115" i="30"/>
  <c r="H122" i="6"/>
  <c r="I122" i="6"/>
  <c r="B114" i="40"/>
  <c r="F114" i="40"/>
  <c r="F121" i="22"/>
  <c r="B121" i="22"/>
  <c r="I120" i="25"/>
  <c r="J120" i="25" s="1"/>
  <c r="H120" i="25"/>
  <c r="H121" i="5"/>
  <c r="I121" i="5"/>
  <c r="B124" i="11"/>
  <c r="F124" i="11"/>
  <c r="H124" i="7"/>
  <c r="I124" i="7"/>
  <c r="B122" i="3"/>
  <c r="F122" i="3"/>
  <c r="B116" i="30"/>
  <c r="F116" i="30"/>
  <c r="J113" i="38"/>
  <c r="H122" i="8"/>
  <c r="I122" i="8"/>
  <c r="J122" i="8" s="1"/>
  <c r="I113" i="40"/>
  <c r="H113" i="40"/>
  <c r="I119" i="23"/>
  <c r="H119" i="23"/>
  <c r="G114" i="38"/>
  <c r="E115" i="38"/>
  <c r="D115" i="38"/>
  <c r="I116" i="28"/>
  <c r="J116" i="28" s="1"/>
  <c r="H116" i="28"/>
  <c r="F121" i="25"/>
  <c r="B121" i="25"/>
  <c r="E119" i="29"/>
  <c r="G118" i="29"/>
  <c r="D119" i="29"/>
  <c r="I40" i="23"/>
  <c r="I43" i="5"/>
  <c r="D115" i="39"/>
  <c r="E115" i="39"/>
  <c r="G114" i="39"/>
  <c r="F37" i="31"/>
  <c r="G37" i="31"/>
  <c r="B37" i="31"/>
  <c r="H37" i="31"/>
  <c r="I37" i="31" s="1"/>
  <c r="I34" i="43"/>
  <c r="I113" i="41"/>
  <c r="H113" i="41"/>
  <c r="D35" i="37"/>
  <c r="E35" i="37"/>
  <c r="D42" i="22"/>
  <c r="E42" i="22"/>
  <c r="I45" i="11"/>
  <c r="H117" i="31"/>
  <c r="I117" i="31"/>
  <c r="D35" i="40"/>
  <c r="E35" i="40"/>
  <c r="D46" i="11"/>
  <c r="E46" i="11"/>
  <c r="I35" i="13"/>
  <c r="B118" i="31"/>
  <c r="F118" i="31"/>
  <c r="H34" i="37"/>
  <c r="D34" i="42"/>
  <c r="E34" i="42"/>
  <c r="D44" i="5"/>
  <c r="E44" i="5"/>
  <c r="D44" i="3"/>
  <c r="E44" i="3"/>
  <c r="F39" i="29"/>
  <c r="H39" i="29"/>
  <c r="G39" i="29"/>
  <c r="B39" i="29"/>
  <c r="I45" i="10"/>
  <c r="G43" i="5"/>
  <c r="D36" i="39"/>
  <c r="E36" i="39"/>
  <c r="B45" i="6"/>
  <c r="H45" i="6"/>
  <c r="I45" i="6" s="1"/>
  <c r="F45" i="6"/>
  <c r="G45" i="6"/>
  <c r="H41" i="22"/>
  <c r="I41" i="22" s="1"/>
  <c r="D40" i="24"/>
  <c r="E40" i="24"/>
  <c r="B115" i="44"/>
  <c r="D37" i="30"/>
  <c r="E37" i="30"/>
  <c r="E40" i="27"/>
  <c r="D40" i="27"/>
  <c r="B116" i="13"/>
  <c r="D41" i="23"/>
  <c r="E41" i="23"/>
  <c r="D47" i="7"/>
  <c r="E47" i="7"/>
  <c r="D38" i="28"/>
  <c r="E38" i="28"/>
  <c r="D44" i="4"/>
  <c r="E44" i="4"/>
  <c r="B114" i="41"/>
  <c r="F114" i="41"/>
  <c r="D46" i="10"/>
  <c r="E46" i="10"/>
  <c r="I39" i="24"/>
  <c r="G34" i="37"/>
  <c r="G35" i="39"/>
  <c r="I35" i="39" s="1"/>
  <c r="B114" i="43"/>
  <c r="F114" i="43"/>
  <c r="G33" i="42"/>
  <c r="D47" i="9"/>
  <c r="E47" i="9"/>
  <c r="D36" i="44"/>
  <c r="E36" i="44"/>
  <c r="I115" i="13"/>
  <c r="H115" i="13"/>
  <c r="D36" i="13"/>
  <c r="F114" i="45"/>
  <c r="B114" i="45"/>
  <c r="I43" i="4"/>
  <c r="I37" i="28"/>
  <c r="D35" i="43"/>
  <c r="E35" i="43"/>
  <c r="D35" i="38"/>
  <c r="E35" i="38"/>
  <c r="D44" i="8"/>
  <c r="E44" i="8"/>
  <c r="H114" i="44"/>
  <c r="I114" i="44"/>
  <c r="D116" i="42"/>
  <c r="E116" i="42" s="1"/>
  <c r="G115" i="42"/>
  <c r="G34" i="38"/>
  <c r="I34" i="38" s="1"/>
  <c r="H43" i="8"/>
  <c r="I43" i="8" s="1"/>
  <c r="E115" i="44"/>
  <c r="F115" i="44" s="1"/>
  <c r="D35" i="41"/>
  <c r="E35" i="41"/>
  <c r="H36" i="30"/>
  <c r="I36" i="30" s="1"/>
  <c r="I113" i="43"/>
  <c r="H113" i="43"/>
  <c r="D42" i="25"/>
  <c r="E42" i="25"/>
  <c r="H33" i="42"/>
  <c r="G35" i="44"/>
  <c r="I35" i="44" s="1"/>
  <c r="E116" i="13"/>
  <c r="F116" i="13" s="1"/>
  <c r="G40" i="23"/>
  <c r="D34" i="45"/>
  <c r="E34" i="45"/>
  <c r="G35" i="13"/>
  <c r="H43" i="3"/>
  <c r="I43" i="3" s="1"/>
  <c r="H113" i="45"/>
  <c r="I113" i="45"/>
  <c r="I114" i="38" l="1"/>
  <c r="H114" i="38"/>
  <c r="J113" i="40"/>
  <c r="D117" i="30"/>
  <c r="G116" i="30"/>
  <c r="E117" i="30"/>
  <c r="J124" i="7"/>
  <c r="J121" i="5"/>
  <c r="J122" i="6"/>
  <c r="E124" i="6"/>
  <c r="G123" i="6"/>
  <c r="D124" i="6"/>
  <c r="E123" i="5"/>
  <c r="D123" i="5"/>
  <c r="G122" i="5"/>
  <c r="G117" i="28"/>
  <c r="D118" i="28"/>
  <c r="E118" i="28"/>
  <c r="J118" i="24"/>
  <c r="J113" i="43"/>
  <c r="E122" i="22"/>
  <c r="G121" i="22"/>
  <c r="D122" i="22"/>
  <c r="D123" i="4"/>
  <c r="G122" i="4"/>
  <c r="E123" i="4"/>
  <c r="D121" i="23"/>
  <c r="G120" i="23"/>
  <c r="E121" i="23"/>
  <c r="G124" i="9"/>
  <c r="E125" i="9"/>
  <c r="D125" i="9"/>
  <c r="B115" i="38"/>
  <c r="F115" i="38"/>
  <c r="J119" i="23"/>
  <c r="G122" i="3"/>
  <c r="E123" i="3"/>
  <c r="D123" i="3"/>
  <c r="D125" i="11"/>
  <c r="G124" i="11"/>
  <c r="E125" i="11"/>
  <c r="E115" i="40"/>
  <c r="G114" i="40"/>
  <c r="D115" i="40"/>
  <c r="J115" i="30"/>
  <c r="G125" i="7"/>
  <c r="D126" i="7"/>
  <c r="E126" i="7"/>
  <c r="E126" i="10"/>
  <c r="G125" i="10"/>
  <c r="D126" i="10"/>
  <c r="J121" i="4"/>
  <c r="J120" i="22"/>
  <c r="E115" i="37"/>
  <c r="D115" i="37"/>
  <c r="G114" i="37"/>
  <c r="J115" i="13"/>
  <c r="D122" i="25"/>
  <c r="G121" i="25"/>
  <c r="E122" i="25"/>
  <c r="E120" i="24"/>
  <c r="D120" i="24"/>
  <c r="G119" i="24"/>
  <c r="D124" i="8"/>
  <c r="G123" i="8"/>
  <c r="E124" i="8"/>
  <c r="D119" i="27"/>
  <c r="G118" i="27"/>
  <c r="E119" i="27"/>
  <c r="B119" i="29"/>
  <c r="F119" i="29"/>
  <c r="H118" i="29"/>
  <c r="I118" i="29"/>
  <c r="J118" i="29" s="1"/>
  <c r="J113" i="45"/>
  <c r="D116" i="44"/>
  <c r="E116" i="44" s="1"/>
  <c r="G115" i="44"/>
  <c r="G116" i="13"/>
  <c r="D117" i="13"/>
  <c r="H115" i="42"/>
  <c r="I115" i="42"/>
  <c r="J115" i="42" s="1"/>
  <c r="B116" i="42"/>
  <c r="F116" i="42"/>
  <c r="B36" i="44"/>
  <c r="F36" i="44"/>
  <c r="H36" i="44" s="1"/>
  <c r="B46" i="10"/>
  <c r="G46" i="10"/>
  <c r="F46" i="10"/>
  <c r="H46" i="10"/>
  <c r="B47" i="7"/>
  <c r="F47" i="7"/>
  <c r="G47" i="7"/>
  <c r="H47" i="7"/>
  <c r="F41" i="23"/>
  <c r="G41" i="23" s="1"/>
  <c r="B41" i="23"/>
  <c r="F36" i="39"/>
  <c r="B36" i="39"/>
  <c r="E40" i="29"/>
  <c r="D40" i="29"/>
  <c r="F34" i="42"/>
  <c r="B34" i="42"/>
  <c r="G34" i="42"/>
  <c r="H34" i="42"/>
  <c r="I34" i="42" s="1"/>
  <c r="J113" i="41"/>
  <c r="I33" i="42"/>
  <c r="J114" i="44"/>
  <c r="G35" i="43"/>
  <c r="F35" i="43"/>
  <c r="H35" i="43" s="1"/>
  <c r="I35" i="43" s="1"/>
  <c r="B35" i="43"/>
  <c r="D115" i="41"/>
  <c r="G114" i="41"/>
  <c r="E115" i="41"/>
  <c r="D38" i="31"/>
  <c r="E38" i="31"/>
  <c r="G35" i="41"/>
  <c r="B35" i="41"/>
  <c r="F35" i="41"/>
  <c r="H35" i="41"/>
  <c r="I35" i="41" s="1"/>
  <c r="G114" i="45"/>
  <c r="D115" i="45"/>
  <c r="E115" i="45" s="1"/>
  <c r="G37" i="30"/>
  <c r="H37" i="30"/>
  <c r="B37" i="30"/>
  <c r="F37" i="30"/>
  <c r="B44" i="3"/>
  <c r="F44" i="3"/>
  <c r="H44" i="3" s="1"/>
  <c r="H114" i="39"/>
  <c r="I114" i="39"/>
  <c r="J114" i="39" s="1"/>
  <c r="B35" i="38"/>
  <c r="F35" i="38"/>
  <c r="B38" i="28"/>
  <c r="F38" i="28"/>
  <c r="H38" i="28"/>
  <c r="I39" i="29"/>
  <c r="F34" i="45"/>
  <c r="H34" i="45" s="1"/>
  <c r="B34" i="45"/>
  <c r="F42" i="25"/>
  <c r="H42" i="25" s="1"/>
  <c r="B42" i="25"/>
  <c r="B36" i="13"/>
  <c r="F36" i="13"/>
  <c r="D115" i="43"/>
  <c r="G114" i="43"/>
  <c r="E115" i="43"/>
  <c r="B40" i="27"/>
  <c r="F40" i="27"/>
  <c r="G40" i="27"/>
  <c r="H40" i="27"/>
  <c r="B44" i="8"/>
  <c r="F44" i="8"/>
  <c r="H44" i="8" s="1"/>
  <c r="E36" i="13"/>
  <c r="B47" i="9"/>
  <c r="F47" i="9"/>
  <c r="B44" i="4"/>
  <c r="F44" i="4"/>
  <c r="H44" i="4" s="1"/>
  <c r="I44" i="4" s="1"/>
  <c r="G44" i="4"/>
  <c r="D46" i="6"/>
  <c r="E46" i="6"/>
  <c r="I34" i="37"/>
  <c r="B46" i="11"/>
  <c r="F46" i="11"/>
  <c r="G46" i="11"/>
  <c r="H46" i="11"/>
  <c r="I46" i="11" s="1"/>
  <c r="J117" i="31"/>
  <c r="H42" i="22"/>
  <c r="B42" i="22"/>
  <c r="F42" i="22"/>
  <c r="G42" i="22" s="1"/>
  <c r="B115" i="39"/>
  <c r="F115" i="39"/>
  <c r="H40" i="24"/>
  <c r="B40" i="24"/>
  <c r="F40" i="24"/>
  <c r="B44" i="5"/>
  <c r="F44" i="5"/>
  <c r="G44" i="5" s="1"/>
  <c r="E119" i="31"/>
  <c r="D119" i="31"/>
  <c r="G118" i="31"/>
  <c r="B35" i="40"/>
  <c r="F35" i="40"/>
  <c r="G35" i="40" s="1"/>
  <c r="B35" i="37"/>
  <c r="F35" i="37"/>
  <c r="G35" i="37" s="1"/>
  <c r="J114" i="38" l="1"/>
  <c r="H118" i="27"/>
  <c r="I118" i="27"/>
  <c r="B124" i="8"/>
  <c r="F124" i="8"/>
  <c r="H114" i="37"/>
  <c r="I114" i="37"/>
  <c r="F115" i="40"/>
  <c r="B115" i="40"/>
  <c r="I124" i="11"/>
  <c r="J124" i="11" s="1"/>
  <c r="H124" i="11"/>
  <c r="H122" i="3"/>
  <c r="I122" i="3"/>
  <c r="J122" i="3" s="1"/>
  <c r="B125" i="9"/>
  <c r="F125" i="9"/>
  <c r="I120" i="23"/>
  <c r="H120" i="23"/>
  <c r="F123" i="4"/>
  <c r="B123" i="4"/>
  <c r="I117" i="28"/>
  <c r="J117" i="28" s="1"/>
  <c r="H117" i="28"/>
  <c r="B124" i="6"/>
  <c r="F124" i="6"/>
  <c r="F117" i="30"/>
  <c r="B117" i="30"/>
  <c r="F119" i="27"/>
  <c r="B119" i="27"/>
  <c r="H119" i="24"/>
  <c r="I119" i="24"/>
  <c r="J119" i="24" s="1"/>
  <c r="I121" i="25"/>
  <c r="H121" i="25"/>
  <c r="F115" i="37"/>
  <c r="B115" i="37"/>
  <c r="B126" i="10"/>
  <c r="F126" i="10"/>
  <c r="F126" i="7"/>
  <c r="B126" i="7"/>
  <c r="I114" i="40"/>
  <c r="J114" i="40" s="1"/>
  <c r="H114" i="40"/>
  <c r="F125" i="11"/>
  <c r="B125" i="11"/>
  <c r="B121" i="23"/>
  <c r="F121" i="23"/>
  <c r="B122" i="22"/>
  <c r="F122" i="22"/>
  <c r="H122" i="5"/>
  <c r="I122" i="5"/>
  <c r="H123" i="6"/>
  <c r="I123" i="6"/>
  <c r="J123" i="6" s="1"/>
  <c r="B120" i="24"/>
  <c r="F120" i="24"/>
  <c r="B122" i="25"/>
  <c r="F122" i="25"/>
  <c r="H125" i="10"/>
  <c r="I125" i="10"/>
  <c r="H125" i="7"/>
  <c r="I125" i="7"/>
  <c r="J125" i="7" s="1"/>
  <c r="B123" i="3"/>
  <c r="F123" i="3"/>
  <c r="D116" i="38"/>
  <c r="G115" i="38"/>
  <c r="E116" i="38"/>
  <c r="H124" i="9"/>
  <c r="I124" i="9"/>
  <c r="J124" i="9" s="1"/>
  <c r="H121" i="22"/>
  <c r="I121" i="22"/>
  <c r="F123" i="5"/>
  <c r="B123" i="5"/>
  <c r="I123" i="8"/>
  <c r="J123" i="8" s="1"/>
  <c r="H123" i="8"/>
  <c r="H122" i="4"/>
  <c r="I122" i="4"/>
  <c r="J122" i="4" s="1"/>
  <c r="B118" i="28"/>
  <c r="F118" i="28"/>
  <c r="H116" i="30"/>
  <c r="I116" i="30"/>
  <c r="J116" i="30" s="1"/>
  <c r="E120" i="29"/>
  <c r="G119" i="29"/>
  <c r="D120" i="29"/>
  <c r="I34" i="45"/>
  <c r="I36" i="44"/>
  <c r="D48" i="9"/>
  <c r="E48" i="9"/>
  <c r="H35" i="40"/>
  <c r="I35" i="40" s="1"/>
  <c r="D41" i="24"/>
  <c r="E41" i="24"/>
  <c r="H47" i="9"/>
  <c r="I47" i="9" s="1"/>
  <c r="D41" i="27"/>
  <c r="E41" i="27"/>
  <c r="D39" i="28"/>
  <c r="E39" i="28"/>
  <c r="D37" i="39"/>
  <c r="E37" i="39"/>
  <c r="I47" i="7"/>
  <c r="E37" i="13"/>
  <c r="D37" i="13"/>
  <c r="D45" i="3"/>
  <c r="E45" i="3"/>
  <c r="I42" i="22"/>
  <c r="E45" i="4"/>
  <c r="D45" i="4"/>
  <c r="D37" i="44"/>
  <c r="E37" i="44"/>
  <c r="B117" i="13"/>
  <c r="I118" i="31"/>
  <c r="H118" i="31"/>
  <c r="H35" i="37"/>
  <c r="I35" i="37" s="1"/>
  <c r="B119" i="31"/>
  <c r="F119" i="31"/>
  <c r="G40" i="24"/>
  <c r="G38" i="28"/>
  <c r="D36" i="41"/>
  <c r="E36" i="41"/>
  <c r="D35" i="42"/>
  <c r="E35" i="42"/>
  <c r="E48" i="7"/>
  <c r="D48" i="7"/>
  <c r="G36" i="44"/>
  <c r="H116" i="13"/>
  <c r="I116" i="13"/>
  <c r="D45" i="8"/>
  <c r="E45" i="8"/>
  <c r="I114" i="43"/>
  <c r="H114" i="43"/>
  <c r="D43" i="25"/>
  <c r="E43" i="25"/>
  <c r="E36" i="38"/>
  <c r="D36" i="38"/>
  <c r="G38" i="31"/>
  <c r="B38" i="31"/>
  <c r="F38" i="31"/>
  <c r="H38" i="31"/>
  <c r="I38" i="31" s="1"/>
  <c r="G40" i="29"/>
  <c r="B40" i="29"/>
  <c r="F40" i="29"/>
  <c r="H40" i="29"/>
  <c r="E117" i="13"/>
  <c r="F117" i="13" s="1"/>
  <c r="I38" i="28"/>
  <c r="D116" i="39"/>
  <c r="E116" i="39"/>
  <c r="G115" i="39"/>
  <c r="B46" i="6"/>
  <c r="F46" i="6"/>
  <c r="G46" i="6" s="1"/>
  <c r="H46" i="6"/>
  <c r="F115" i="43"/>
  <c r="B115" i="43"/>
  <c r="G42" i="25"/>
  <c r="I42" i="25" s="1"/>
  <c r="G35" i="38"/>
  <c r="D38" i="30"/>
  <c r="E38" i="30"/>
  <c r="B115" i="45"/>
  <c r="F115" i="45"/>
  <c r="I46" i="10"/>
  <c r="D35" i="45"/>
  <c r="E35" i="45"/>
  <c r="E42" i="23"/>
  <c r="D42" i="23"/>
  <c r="D36" i="37"/>
  <c r="E36" i="37"/>
  <c r="I40" i="24"/>
  <c r="H44" i="5"/>
  <c r="I44" i="5" s="1"/>
  <c r="E47" i="11"/>
  <c r="D47" i="11"/>
  <c r="G36" i="13"/>
  <c r="H35" i="38"/>
  <c r="I114" i="45"/>
  <c r="H114" i="45"/>
  <c r="H114" i="41"/>
  <c r="I114" i="41"/>
  <c r="G36" i="39"/>
  <c r="H41" i="23"/>
  <c r="I41" i="23" s="1"/>
  <c r="E47" i="10"/>
  <c r="D47" i="10"/>
  <c r="D117" i="42"/>
  <c r="E117" i="42" s="1"/>
  <c r="G116" i="42"/>
  <c r="I115" i="44"/>
  <c r="H115" i="44"/>
  <c r="D36" i="40"/>
  <c r="E36" i="40"/>
  <c r="D45" i="5"/>
  <c r="E45" i="5"/>
  <c r="D43" i="22"/>
  <c r="E43" i="22"/>
  <c r="G47" i="9"/>
  <c r="G44" i="8"/>
  <c r="I44" i="8" s="1"/>
  <c r="I40" i="27"/>
  <c r="H36" i="13"/>
  <c r="I36" i="13" s="1"/>
  <c r="G34" i="45"/>
  <c r="G44" i="3"/>
  <c r="I44" i="3" s="1"/>
  <c r="I37" i="30"/>
  <c r="B115" i="41"/>
  <c r="F115" i="41"/>
  <c r="D36" i="43"/>
  <c r="E36" i="43"/>
  <c r="H36" i="39"/>
  <c r="I36" i="39" s="1"/>
  <c r="B116" i="44"/>
  <c r="F116" i="44"/>
  <c r="I115" i="38" l="1"/>
  <c r="H115" i="38"/>
  <c r="D123" i="25"/>
  <c r="E123" i="25"/>
  <c r="G122" i="25"/>
  <c r="D123" i="22"/>
  <c r="G122" i="22"/>
  <c r="E123" i="22"/>
  <c r="E125" i="8"/>
  <c r="D125" i="8"/>
  <c r="G124" i="8"/>
  <c r="F116" i="38"/>
  <c r="B116" i="38"/>
  <c r="D126" i="11"/>
  <c r="E126" i="11"/>
  <c r="G125" i="11"/>
  <c r="G126" i="7"/>
  <c r="E127" i="7"/>
  <c r="D127" i="7"/>
  <c r="E116" i="37"/>
  <c r="G115" i="37"/>
  <c r="D116" i="37"/>
  <c r="G117" i="30"/>
  <c r="D118" i="30"/>
  <c r="E118" i="30"/>
  <c r="J120" i="23"/>
  <c r="G115" i="40"/>
  <c r="D116" i="40"/>
  <c r="E116" i="40"/>
  <c r="E124" i="5"/>
  <c r="G123" i="5"/>
  <c r="D124" i="5"/>
  <c r="G123" i="3"/>
  <c r="D124" i="3"/>
  <c r="E124" i="3"/>
  <c r="J125" i="10"/>
  <c r="G120" i="24"/>
  <c r="E121" i="24"/>
  <c r="D121" i="24"/>
  <c r="J122" i="5"/>
  <c r="G121" i="23"/>
  <c r="E122" i="23"/>
  <c r="D122" i="23"/>
  <c r="E127" i="10"/>
  <c r="G126" i="10"/>
  <c r="D127" i="10"/>
  <c r="G124" i="6"/>
  <c r="D125" i="6"/>
  <c r="E125" i="6"/>
  <c r="D126" i="9"/>
  <c r="G125" i="9"/>
  <c r="E126" i="9"/>
  <c r="J114" i="37"/>
  <c r="J118" i="27"/>
  <c r="D119" i="28"/>
  <c r="E119" i="28"/>
  <c r="G118" i="28"/>
  <c r="J121" i="22"/>
  <c r="J121" i="25"/>
  <c r="E120" i="27"/>
  <c r="D120" i="27"/>
  <c r="G119" i="27"/>
  <c r="E124" i="4"/>
  <c r="D124" i="4"/>
  <c r="G123" i="4"/>
  <c r="J116" i="13"/>
  <c r="H119" i="29"/>
  <c r="I119" i="29"/>
  <c r="J119" i="29" s="1"/>
  <c r="J114" i="41"/>
  <c r="B120" i="29"/>
  <c r="F120" i="29"/>
  <c r="G117" i="13"/>
  <c r="D118" i="13"/>
  <c r="E118" i="13" s="1"/>
  <c r="B48" i="9"/>
  <c r="F48" i="9"/>
  <c r="G48" i="9"/>
  <c r="H48" i="9"/>
  <c r="I48" i="9" s="1"/>
  <c r="F36" i="43"/>
  <c r="H36" i="43" s="1"/>
  <c r="I36" i="43" s="1"/>
  <c r="G36" i="43"/>
  <c r="B36" i="43"/>
  <c r="F36" i="40"/>
  <c r="H36" i="40"/>
  <c r="B36" i="40"/>
  <c r="I46" i="6"/>
  <c r="F45" i="8"/>
  <c r="G45" i="8"/>
  <c r="B45" i="8"/>
  <c r="B36" i="38"/>
  <c r="F36" i="38"/>
  <c r="D120" i="31"/>
  <c r="G119" i="31"/>
  <c r="E120" i="31"/>
  <c r="G116" i="44"/>
  <c r="D117" i="44"/>
  <c r="E117" i="44" s="1"/>
  <c r="J115" i="44"/>
  <c r="J114" i="45"/>
  <c r="H47" i="11"/>
  <c r="B47" i="11"/>
  <c r="F47" i="11"/>
  <c r="D41" i="29"/>
  <c r="E41" i="29"/>
  <c r="F36" i="41"/>
  <c r="B36" i="41"/>
  <c r="F45" i="3"/>
  <c r="H45" i="3"/>
  <c r="B45" i="3"/>
  <c r="G45" i="3"/>
  <c r="B43" i="25"/>
  <c r="F43" i="25"/>
  <c r="B117" i="42"/>
  <c r="F117" i="42"/>
  <c r="F35" i="42"/>
  <c r="B35" i="42"/>
  <c r="H35" i="42"/>
  <c r="F43" i="22"/>
  <c r="H43" i="22" s="1"/>
  <c r="B43" i="22"/>
  <c r="B42" i="23"/>
  <c r="F42" i="23"/>
  <c r="H42" i="23" s="1"/>
  <c r="I40" i="29"/>
  <c r="H37" i="44"/>
  <c r="I37" i="44" s="1"/>
  <c r="F37" i="44"/>
  <c r="G37" i="44"/>
  <c r="B37" i="44"/>
  <c r="F41" i="24"/>
  <c r="H41" i="24"/>
  <c r="B41" i="24"/>
  <c r="H116" i="42"/>
  <c r="I116" i="42"/>
  <c r="D116" i="43"/>
  <c r="G115" i="43"/>
  <c r="E116" i="43"/>
  <c r="H37" i="13"/>
  <c r="F37" i="13"/>
  <c r="B37" i="13"/>
  <c r="B41" i="27"/>
  <c r="F41" i="27"/>
  <c r="G41" i="27" s="1"/>
  <c r="F47" i="10"/>
  <c r="G47" i="10"/>
  <c r="B47" i="10"/>
  <c r="I35" i="38"/>
  <c r="B116" i="39"/>
  <c r="F116" i="39"/>
  <c r="J114" i="43"/>
  <c r="F45" i="4"/>
  <c r="G45" i="4" s="1"/>
  <c r="B45" i="4"/>
  <c r="F48" i="7"/>
  <c r="H48" i="7" s="1"/>
  <c r="B48" i="7"/>
  <c r="B45" i="5"/>
  <c r="F45" i="5"/>
  <c r="G45" i="5"/>
  <c r="D39" i="31"/>
  <c r="E39" i="31"/>
  <c r="B35" i="45"/>
  <c r="F35" i="45"/>
  <c r="G35" i="45"/>
  <c r="H35" i="45"/>
  <c r="I35" i="45" s="1"/>
  <c r="B38" i="30"/>
  <c r="F38" i="30"/>
  <c r="F37" i="39"/>
  <c r="G37" i="39"/>
  <c r="B37" i="39"/>
  <c r="H37" i="39"/>
  <c r="D116" i="45"/>
  <c r="E116" i="45" s="1"/>
  <c r="G115" i="45"/>
  <c r="H115" i="39"/>
  <c r="I115" i="39"/>
  <c r="J118" i="31"/>
  <c r="B36" i="37"/>
  <c r="F36" i="37"/>
  <c r="G36" i="37"/>
  <c r="H36" i="37"/>
  <c r="I36" i="37" s="1"/>
  <c r="D116" i="41"/>
  <c r="G115" i="41"/>
  <c r="E116" i="41"/>
  <c r="D47" i="6"/>
  <c r="E47" i="6"/>
  <c r="F39" i="28"/>
  <c r="G39" i="28"/>
  <c r="B39" i="28"/>
  <c r="H39" i="28"/>
  <c r="I39" i="28" s="1"/>
  <c r="F124" i="4" l="1"/>
  <c r="B124" i="4"/>
  <c r="F125" i="6"/>
  <c r="B125" i="6"/>
  <c r="F124" i="5"/>
  <c r="B124" i="5"/>
  <c r="F116" i="40"/>
  <c r="B116" i="40"/>
  <c r="F118" i="30"/>
  <c r="B118" i="30"/>
  <c r="I125" i="11"/>
  <c r="H125" i="11"/>
  <c r="E117" i="38"/>
  <c r="D117" i="38"/>
  <c r="G116" i="38"/>
  <c r="F119" i="28"/>
  <c r="B119" i="28"/>
  <c r="H125" i="9"/>
  <c r="I125" i="9"/>
  <c r="I124" i="6"/>
  <c r="J124" i="6" s="1"/>
  <c r="H124" i="6"/>
  <c r="F122" i="23"/>
  <c r="B122" i="23"/>
  <c r="F121" i="24"/>
  <c r="B121" i="24"/>
  <c r="H123" i="5"/>
  <c r="I123" i="5"/>
  <c r="I115" i="40"/>
  <c r="J115" i="40" s="1"/>
  <c r="H115" i="40"/>
  <c r="I117" i="30"/>
  <c r="J117" i="30" s="1"/>
  <c r="H117" i="30"/>
  <c r="B127" i="7"/>
  <c r="F127" i="7"/>
  <c r="I124" i="8"/>
  <c r="J124" i="8" s="1"/>
  <c r="H124" i="8"/>
  <c r="H122" i="22"/>
  <c r="I122" i="22"/>
  <c r="F123" i="25"/>
  <c r="B123" i="25"/>
  <c r="I119" i="27"/>
  <c r="J119" i="27" s="1"/>
  <c r="H119" i="27"/>
  <c r="B126" i="9"/>
  <c r="F126" i="9"/>
  <c r="F127" i="10"/>
  <c r="B127" i="10"/>
  <c r="F124" i="3"/>
  <c r="B124" i="3"/>
  <c r="F116" i="37"/>
  <c r="B116" i="37"/>
  <c r="F126" i="11"/>
  <c r="B126" i="11"/>
  <c r="F125" i="8"/>
  <c r="B125" i="8"/>
  <c r="F123" i="22"/>
  <c r="B123" i="22"/>
  <c r="H123" i="4"/>
  <c r="I123" i="4"/>
  <c r="J123" i="4" s="1"/>
  <c r="F120" i="27"/>
  <c r="B120" i="27"/>
  <c r="H118" i="28"/>
  <c r="I118" i="28"/>
  <c r="J118" i="28" s="1"/>
  <c r="I126" i="10"/>
  <c r="H126" i="10"/>
  <c r="H121" i="23"/>
  <c r="I121" i="23"/>
  <c r="J121" i="23" s="1"/>
  <c r="I120" i="24"/>
  <c r="H120" i="24"/>
  <c r="I123" i="3"/>
  <c r="H123" i="3"/>
  <c r="I115" i="37"/>
  <c r="H115" i="37"/>
  <c r="H126" i="7"/>
  <c r="I126" i="7"/>
  <c r="J126" i="7" s="1"/>
  <c r="H122" i="25"/>
  <c r="I122" i="25"/>
  <c r="J122" i="25" s="1"/>
  <c r="J115" i="38"/>
  <c r="E121" i="29"/>
  <c r="G120" i="29"/>
  <c r="D121" i="29"/>
  <c r="J115" i="39"/>
  <c r="I42" i="23"/>
  <c r="I48" i="7"/>
  <c r="F47" i="6"/>
  <c r="G47" i="6" s="1"/>
  <c r="H47" i="6"/>
  <c r="B47" i="6"/>
  <c r="F118" i="13"/>
  <c r="B118" i="13"/>
  <c r="I119" i="31"/>
  <c r="H119" i="31"/>
  <c r="D37" i="40"/>
  <c r="E37" i="40"/>
  <c r="H115" i="41"/>
  <c r="I115" i="41"/>
  <c r="D117" i="39"/>
  <c r="E117" i="39"/>
  <c r="G116" i="39"/>
  <c r="H41" i="27"/>
  <c r="I41" i="27" s="1"/>
  <c r="E36" i="42"/>
  <c r="D36" i="42"/>
  <c r="I45" i="3"/>
  <c r="B120" i="31"/>
  <c r="F120" i="31"/>
  <c r="D49" i="7"/>
  <c r="E49" i="7"/>
  <c r="H45" i="4"/>
  <c r="I45" i="4" s="1"/>
  <c r="G42" i="23"/>
  <c r="D44" i="25"/>
  <c r="E44" i="25"/>
  <c r="H117" i="13"/>
  <c r="I117" i="13"/>
  <c r="B116" i="41"/>
  <c r="F116" i="41"/>
  <c r="I37" i="39"/>
  <c r="D36" i="45"/>
  <c r="E36" i="45"/>
  <c r="F39" i="31"/>
  <c r="G39" i="31"/>
  <c r="B39" i="31"/>
  <c r="J116" i="42"/>
  <c r="D38" i="44"/>
  <c r="E38" i="44"/>
  <c r="G35" i="42"/>
  <c r="G43" i="25"/>
  <c r="D46" i="3"/>
  <c r="E46" i="3"/>
  <c r="F41" i="29"/>
  <c r="B41" i="29"/>
  <c r="D49" i="9"/>
  <c r="E49" i="9"/>
  <c r="D39" i="30"/>
  <c r="E39" i="30"/>
  <c r="D37" i="41"/>
  <c r="E37" i="41"/>
  <c r="I35" i="42"/>
  <c r="I37" i="13"/>
  <c r="I47" i="11"/>
  <c r="D46" i="5"/>
  <c r="E46" i="5"/>
  <c r="D48" i="10"/>
  <c r="E48" i="10"/>
  <c r="E42" i="24"/>
  <c r="D42" i="24"/>
  <c r="E43" i="23"/>
  <c r="D43" i="23"/>
  <c r="D46" i="8"/>
  <c r="E46" i="8"/>
  <c r="I115" i="45"/>
  <c r="H115" i="45"/>
  <c r="G43" i="22"/>
  <c r="I43" i="22" s="1"/>
  <c r="H43" i="25"/>
  <c r="I43" i="25" s="1"/>
  <c r="D48" i="11"/>
  <c r="E48" i="11"/>
  <c r="D37" i="38"/>
  <c r="E37" i="38"/>
  <c r="F116" i="45"/>
  <c r="B116" i="45"/>
  <c r="H38" i="30"/>
  <c r="I38" i="30" s="1"/>
  <c r="H115" i="43"/>
  <c r="I115" i="43"/>
  <c r="J115" i="43" s="1"/>
  <c r="G36" i="41"/>
  <c r="B117" i="44"/>
  <c r="F117" i="44"/>
  <c r="H36" i="38"/>
  <c r="I36" i="38" s="1"/>
  <c r="H45" i="8"/>
  <c r="I45" i="8" s="1"/>
  <c r="E37" i="43"/>
  <c r="D37" i="43"/>
  <c r="G117" i="42"/>
  <c r="D118" i="42"/>
  <c r="E118" i="42" s="1"/>
  <c r="E42" i="27"/>
  <c r="D42" i="27"/>
  <c r="H45" i="5"/>
  <c r="I45" i="5" s="1"/>
  <c r="H36" i="41"/>
  <c r="H47" i="10"/>
  <c r="I47" i="10" s="1"/>
  <c r="D38" i="13"/>
  <c r="E38" i="13"/>
  <c r="D40" i="28"/>
  <c r="E40" i="28"/>
  <c r="E37" i="37"/>
  <c r="D37" i="37"/>
  <c r="E38" i="39"/>
  <c r="D38" i="39"/>
  <c r="G38" i="30"/>
  <c r="G48" i="7"/>
  <c r="G37" i="13"/>
  <c r="F116" i="43"/>
  <c r="B116" i="43"/>
  <c r="G41" i="24"/>
  <c r="I41" i="24" s="1"/>
  <c r="G47" i="11"/>
  <c r="H116" i="44"/>
  <c r="I116" i="44"/>
  <c r="G36" i="38"/>
  <c r="G36" i="40"/>
  <c r="I36" i="40" s="1"/>
  <c r="D46" i="4"/>
  <c r="E46" i="4"/>
  <c r="D44" i="22"/>
  <c r="E44" i="22"/>
  <c r="J123" i="3" l="1"/>
  <c r="D126" i="8"/>
  <c r="E126" i="8"/>
  <c r="G125" i="8"/>
  <c r="E117" i="37"/>
  <c r="G116" i="37"/>
  <c r="D117" i="37"/>
  <c r="E128" i="10"/>
  <c r="G127" i="10"/>
  <c r="D128" i="10"/>
  <c r="D122" i="24"/>
  <c r="E122" i="24"/>
  <c r="G121" i="24"/>
  <c r="G119" i="28"/>
  <c r="D120" i="28"/>
  <c r="E120" i="28"/>
  <c r="E127" i="9"/>
  <c r="D127" i="9"/>
  <c r="G126" i="9"/>
  <c r="J123" i="5"/>
  <c r="J125" i="9"/>
  <c r="H116" i="38"/>
  <c r="I116" i="38"/>
  <c r="J116" i="38" s="1"/>
  <c r="J125" i="11"/>
  <c r="D117" i="40"/>
  <c r="E117" i="40"/>
  <c r="G116" i="40"/>
  <c r="E126" i="6"/>
  <c r="D126" i="6"/>
  <c r="G125" i="6"/>
  <c r="J115" i="37"/>
  <c r="J120" i="24"/>
  <c r="J126" i="10"/>
  <c r="G120" i="27"/>
  <c r="D121" i="27"/>
  <c r="E121" i="27"/>
  <c r="D124" i="22"/>
  <c r="E124" i="22"/>
  <c r="G123" i="22"/>
  <c r="G126" i="11"/>
  <c r="D127" i="11"/>
  <c r="E127" i="11"/>
  <c r="G124" i="3"/>
  <c r="E125" i="3"/>
  <c r="D125" i="3"/>
  <c r="D124" i="25"/>
  <c r="E124" i="25"/>
  <c r="G123" i="25"/>
  <c r="E123" i="23"/>
  <c r="D123" i="23"/>
  <c r="G122" i="23"/>
  <c r="B117" i="38"/>
  <c r="F117" i="38"/>
  <c r="J122" i="22"/>
  <c r="D128" i="7"/>
  <c r="G127" i="7"/>
  <c r="E128" i="7"/>
  <c r="D119" i="30"/>
  <c r="E119" i="30"/>
  <c r="G118" i="30"/>
  <c r="G124" i="5"/>
  <c r="D125" i="5"/>
  <c r="E125" i="5"/>
  <c r="G124" i="4"/>
  <c r="D125" i="4"/>
  <c r="E125" i="4"/>
  <c r="J115" i="45"/>
  <c r="J116" i="44"/>
  <c r="F121" i="29"/>
  <c r="B121" i="29"/>
  <c r="H120" i="29"/>
  <c r="I120" i="29"/>
  <c r="J115" i="41"/>
  <c r="J119" i="31"/>
  <c r="H49" i="7"/>
  <c r="B49" i="7"/>
  <c r="F49" i="7"/>
  <c r="D42" i="29"/>
  <c r="E42" i="29"/>
  <c r="B46" i="4"/>
  <c r="F46" i="4"/>
  <c r="H46" i="4" s="1"/>
  <c r="I46" i="4" s="1"/>
  <c r="G46" i="4"/>
  <c r="B37" i="43"/>
  <c r="F37" i="43"/>
  <c r="H37" i="43"/>
  <c r="G37" i="43"/>
  <c r="F43" i="23"/>
  <c r="B43" i="23"/>
  <c r="B48" i="10"/>
  <c r="F48" i="10"/>
  <c r="F39" i="30"/>
  <c r="H39" i="30"/>
  <c r="G39" i="30"/>
  <c r="B39" i="30"/>
  <c r="F36" i="45"/>
  <c r="B36" i="45"/>
  <c r="D117" i="43"/>
  <c r="G116" i="43"/>
  <c r="E117" i="43"/>
  <c r="F38" i="13"/>
  <c r="B38" i="13"/>
  <c r="B46" i="3"/>
  <c r="F46" i="3"/>
  <c r="G46" i="3"/>
  <c r="H46" i="3"/>
  <c r="I46" i="3" s="1"/>
  <c r="B44" i="25"/>
  <c r="F44" i="25"/>
  <c r="G44" i="25" s="1"/>
  <c r="I117" i="42"/>
  <c r="H117" i="42"/>
  <c r="F37" i="40"/>
  <c r="G37" i="40" s="1"/>
  <c r="B37" i="40"/>
  <c r="H37" i="40"/>
  <c r="D40" i="31"/>
  <c r="E40" i="31"/>
  <c r="F40" i="28"/>
  <c r="B40" i="28"/>
  <c r="F49" i="9"/>
  <c r="G49" i="9"/>
  <c r="B49" i="9"/>
  <c r="B38" i="44"/>
  <c r="G38" i="44"/>
  <c r="F38" i="44"/>
  <c r="H38" i="44"/>
  <c r="B36" i="42"/>
  <c r="F36" i="42"/>
  <c r="G36" i="42" s="1"/>
  <c r="F37" i="41"/>
  <c r="B37" i="41"/>
  <c r="I36" i="41"/>
  <c r="B38" i="39"/>
  <c r="G38" i="39"/>
  <c r="H38" i="39"/>
  <c r="I38" i="39" s="1"/>
  <c r="F38" i="39"/>
  <c r="F42" i="27"/>
  <c r="H42" i="27"/>
  <c r="B42" i="27"/>
  <c r="D117" i="45"/>
  <c r="E117" i="45" s="1"/>
  <c r="G116" i="45"/>
  <c r="F42" i="24"/>
  <c r="B42" i="24"/>
  <c r="G42" i="24"/>
  <c r="F46" i="5"/>
  <c r="B46" i="5"/>
  <c r="D117" i="41"/>
  <c r="G116" i="41"/>
  <c r="E117" i="41"/>
  <c r="E121" i="31"/>
  <c r="D121" i="31"/>
  <c r="G120" i="31"/>
  <c r="I47" i="6"/>
  <c r="H116" i="39"/>
  <c r="I116" i="39"/>
  <c r="E48" i="6"/>
  <c r="D48" i="6"/>
  <c r="B37" i="37"/>
  <c r="F37" i="37"/>
  <c r="H37" i="37" s="1"/>
  <c r="F118" i="42"/>
  <c r="B118" i="42"/>
  <c r="D118" i="44"/>
  <c r="G117" i="44"/>
  <c r="B37" i="38"/>
  <c r="F37" i="38"/>
  <c r="H37" i="38" s="1"/>
  <c r="I37" i="38" s="1"/>
  <c r="G37" i="38"/>
  <c r="B46" i="8"/>
  <c r="F46" i="8"/>
  <c r="H46" i="8" s="1"/>
  <c r="H41" i="29"/>
  <c r="I41" i="29" s="1"/>
  <c r="H39" i="31"/>
  <c r="I39" i="31" s="1"/>
  <c r="J117" i="13"/>
  <c r="G118" i="13"/>
  <c r="D119" i="13"/>
  <c r="F117" i="39"/>
  <c r="B117" i="39"/>
  <c r="F44" i="22"/>
  <c r="B44" i="22"/>
  <c r="B48" i="11"/>
  <c r="F48" i="11"/>
  <c r="G41" i="29"/>
  <c r="H124" i="4" l="1"/>
  <c r="I124" i="4"/>
  <c r="I118" i="30"/>
  <c r="J118" i="30" s="1"/>
  <c r="H118" i="30"/>
  <c r="I127" i="7"/>
  <c r="J127" i="7" s="1"/>
  <c r="H127" i="7"/>
  <c r="H123" i="25"/>
  <c r="I123" i="25"/>
  <c r="H126" i="11"/>
  <c r="I126" i="11"/>
  <c r="H125" i="8"/>
  <c r="I125" i="8"/>
  <c r="J125" i="8" s="1"/>
  <c r="B128" i="7"/>
  <c r="F128" i="7"/>
  <c r="I122" i="23"/>
  <c r="J122" i="23" s="1"/>
  <c r="H122" i="23"/>
  <c r="I124" i="3"/>
  <c r="J124" i="3" s="1"/>
  <c r="H124" i="3"/>
  <c r="H123" i="22"/>
  <c r="I123" i="22"/>
  <c r="J123" i="22" s="1"/>
  <c r="B121" i="27"/>
  <c r="F121" i="27"/>
  <c r="I116" i="40"/>
  <c r="H116" i="40"/>
  <c r="I126" i="9"/>
  <c r="J126" i="9" s="1"/>
  <c r="H126" i="9"/>
  <c r="F120" i="28"/>
  <c r="B120" i="28"/>
  <c r="F122" i="24"/>
  <c r="B122" i="24"/>
  <c r="B117" i="37"/>
  <c r="F117" i="37"/>
  <c r="F125" i="5"/>
  <c r="B125" i="5"/>
  <c r="B119" i="30"/>
  <c r="F119" i="30"/>
  <c r="B123" i="23"/>
  <c r="F123" i="23"/>
  <c r="B124" i="25"/>
  <c r="F124" i="25"/>
  <c r="H120" i="27"/>
  <c r="I120" i="27"/>
  <c r="I125" i="6"/>
  <c r="J125" i="6" s="1"/>
  <c r="H125" i="6"/>
  <c r="B127" i="9"/>
  <c r="F127" i="9"/>
  <c r="I119" i="28"/>
  <c r="J119" i="28" s="1"/>
  <c r="H119" i="28"/>
  <c r="F128" i="10"/>
  <c r="B128" i="10"/>
  <c r="I116" i="37"/>
  <c r="J116" i="37" s="1"/>
  <c r="H116" i="37"/>
  <c r="B126" i="8"/>
  <c r="F126" i="8"/>
  <c r="F125" i="4"/>
  <c r="B125" i="4"/>
  <c r="I124" i="5"/>
  <c r="H124" i="5"/>
  <c r="G117" i="38"/>
  <c r="E118" i="38"/>
  <c r="D118" i="38"/>
  <c r="B125" i="3"/>
  <c r="F125" i="3"/>
  <c r="B127" i="11"/>
  <c r="F127" i="11"/>
  <c r="F124" i="22"/>
  <c r="B124" i="22"/>
  <c r="B126" i="6"/>
  <c r="F126" i="6"/>
  <c r="F117" i="40"/>
  <c r="B117" i="40"/>
  <c r="I121" i="24"/>
  <c r="J121" i="24" s="1"/>
  <c r="H121" i="24"/>
  <c r="I127" i="10"/>
  <c r="H127" i="10"/>
  <c r="G121" i="29"/>
  <c r="D122" i="29"/>
  <c r="E122" i="29"/>
  <c r="J120" i="29"/>
  <c r="J117" i="42"/>
  <c r="J116" i="39"/>
  <c r="D47" i="5"/>
  <c r="E47" i="5"/>
  <c r="D41" i="28"/>
  <c r="E41" i="28"/>
  <c r="D44" i="23"/>
  <c r="E44" i="23"/>
  <c r="E49" i="11"/>
  <c r="D49" i="11"/>
  <c r="F117" i="41"/>
  <c r="B117" i="41"/>
  <c r="D39" i="13"/>
  <c r="E39" i="13" s="1"/>
  <c r="H43" i="23"/>
  <c r="I49" i="7"/>
  <c r="G117" i="39"/>
  <c r="E118" i="39"/>
  <c r="D118" i="39"/>
  <c r="G46" i="8"/>
  <c r="I46" i="8" s="1"/>
  <c r="H117" i="44"/>
  <c r="I117" i="44"/>
  <c r="E43" i="27"/>
  <c r="D43" i="27"/>
  <c r="E38" i="41"/>
  <c r="D38" i="41"/>
  <c r="D50" i="9"/>
  <c r="E50" i="9"/>
  <c r="B40" i="31"/>
  <c r="F40" i="31"/>
  <c r="G40" i="31"/>
  <c r="H40" i="31"/>
  <c r="I40" i="31" s="1"/>
  <c r="D47" i="3"/>
  <c r="E47" i="3"/>
  <c r="G38" i="13"/>
  <c r="D49" i="10"/>
  <c r="E49" i="10"/>
  <c r="H48" i="11"/>
  <c r="I48" i="11" s="1"/>
  <c r="B118" i="44"/>
  <c r="E43" i="24"/>
  <c r="D43" i="24"/>
  <c r="G42" i="27"/>
  <c r="G37" i="41"/>
  <c r="I38" i="44"/>
  <c r="I37" i="40"/>
  <c r="I37" i="43"/>
  <c r="G48" i="11"/>
  <c r="E118" i="44"/>
  <c r="F118" i="44" s="1"/>
  <c r="B48" i="6"/>
  <c r="F48" i="6"/>
  <c r="H120" i="31"/>
  <c r="I120" i="31"/>
  <c r="H42" i="24"/>
  <c r="I42" i="24" s="1"/>
  <c r="D39" i="39"/>
  <c r="E39" i="39"/>
  <c r="H37" i="41"/>
  <c r="I37" i="41" s="1"/>
  <c r="E39" i="44"/>
  <c r="D39" i="44"/>
  <c r="H116" i="43"/>
  <c r="I116" i="43"/>
  <c r="G48" i="10"/>
  <c r="E38" i="43"/>
  <c r="D38" i="43"/>
  <c r="E47" i="8"/>
  <c r="D47" i="8"/>
  <c r="D45" i="22"/>
  <c r="E45" i="22"/>
  <c r="I42" i="27"/>
  <c r="B119" i="13"/>
  <c r="B121" i="31"/>
  <c r="F121" i="31"/>
  <c r="D45" i="25"/>
  <c r="E45" i="25"/>
  <c r="H48" i="10"/>
  <c r="D119" i="42"/>
  <c r="E119" i="42" s="1"/>
  <c r="G118" i="42"/>
  <c r="I116" i="45"/>
  <c r="H116" i="45"/>
  <c r="I39" i="30"/>
  <c r="D50" i="7"/>
  <c r="E50" i="7"/>
  <c r="D38" i="37"/>
  <c r="E38" i="37"/>
  <c r="I116" i="41"/>
  <c r="H116" i="41"/>
  <c r="D37" i="42"/>
  <c r="E37" i="42"/>
  <c r="E37" i="45"/>
  <c r="D37" i="45"/>
  <c r="F42" i="29"/>
  <c r="H42" i="29"/>
  <c r="B42" i="29"/>
  <c r="G42" i="29"/>
  <c r="D47" i="4"/>
  <c r="E47" i="4"/>
  <c r="H44" i="22"/>
  <c r="I44" i="22" s="1"/>
  <c r="H46" i="5"/>
  <c r="B117" i="43"/>
  <c r="F117" i="43"/>
  <c r="G36" i="45"/>
  <c r="I118" i="13"/>
  <c r="H118" i="13"/>
  <c r="E38" i="38"/>
  <c r="D38" i="38"/>
  <c r="H40" i="28"/>
  <c r="E38" i="40"/>
  <c r="D38" i="40"/>
  <c r="H44" i="25"/>
  <c r="I44" i="25" s="1"/>
  <c r="G44" i="22"/>
  <c r="E119" i="13"/>
  <c r="F119" i="13" s="1"/>
  <c r="G37" i="37"/>
  <c r="I37" i="37" s="1"/>
  <c r="G46" i="5"/>
  <c r="B117" i="45"/>
  <c r="F117" i="45"/>
  <c r="H36" i="42"/>
  <c r="I36" i="42" s="1"/>
  <c r="H49" i="9"/>
  <c r="I49" i="9" s="1"/>
  <c r="G40" i="28"/>
  <c r="H38" i="13"/>
  <c r="I38" i="13" s="1"/>
  <c r="H36" i="45"/>
  <c r="D40" i="30"/>
  <c r="E40" i="30"/>
  <c r="G43" i="23"/>
  <c r="G49" i="7"/>
  <c r="D125" i="25" l="1"/>
  <c r="E125" i="25"/>
  <c r="G124" i="25"/>
  <c r="D120" i="30"/>
  <c r="E120" i="30"/>
  <c r="G119" i="30"/>
  <c r="G117" i="37"/>
  <c r="D118" i="37"/>
  <c r="E118" i="37"/>
  <c r="J123" i="25"/>
  <c r="E126" i="3"/>
  <c r="G125" i="3"/>
  <c r="D126" i="3"/>
  <c r="H117" i="38"/>
  <c r="I117" i="38"/>
  <c r="J117" i="38" s="1"/>
  <c r="G125" i="4"/>
  <c r="D126" i="4"/>
  <c r="E126" i="4"/>
  <c r="G120" i="28"/>
  <c r="E121" i="28"/>
  <c r="D121" i="28"/>
  <c r="J116" i="40"/>
  <c r="J116" i="45"/>
  <c r="J127" i="10"/>
  <c r="D118" i="40"/>
  <c r="G117" i="40"/>
  <c r="E118" i="40"/>
  <c r="D125" i="22"/>
  <c r="G124" i="22"/>
  <c r="E125" i="22"/>
  <c r="G126" i="8"/>
  <c r="E127" i="8"/>
  <c r="D127" i="8"/>
  <c r="E128" i="9"/>
  <c r="D128" i="9"/>
  <c r="G127" i="9"/>
  <c r="J120" i="27"/>
  <c r="E124" i="23"/>
  <c r="G123" i="23"/>
  <c r="D124" i="23"/>
  <c r="D122" i="27"/>
  <c r="G121" i="27"/>
  <c r="E122" i="27"/>
  <c r="G128" i="7"/>
  <c r="E129" i="7"/>
  <c r="D129" i="7"/>
  <c r="J126" i="11"/>
  <c r="J124" i="4"/>
  <c r="E127" i="6"/>
  <c r="D127" i="6"/>
  <c r="G126" i="6"/>
  <c r="E128" i="11"/>
  <c r="G127" i="11"/>
  <c r="D128" i="11"/>
  <c r="B118" i="38"/>
  <c r="F118" i="38"/>
  <c r="J124" i="5"/>
  <c r="D129" i="10"/>
  <c r="E129" i="10"/>
  <c r="G128" i="10"/>
  <c r="G125" i="5"/>
  <c r="E126" i="5"/>
  <c r="D126" i="5"/>
  <c r="E123" i="24"/>
  <c r="D123" i="24"/>
  <c r="G122" i="24"/>
  <c r="J118" i="13"/>
  <c r="B122" i="29"/>
  <c r="F122" i="29"/>
  <c r="I121" i="29"/>
  <c r="H121" i="29"/>
  <c r="G119" i="13"/>
  <c r="D120" i="13"/>
  <c r="E120" i="13" s="1"/>
  <c r="D119" i="44"/>
  <c r="G118" i="44"/>
  <c r="G47" i="8"/>
  <c r="F47" i="8"/>
  <c r="B47" i="8"/>
  <c r="H47" i="8"/>
  <c r="I47" i="8" s="1"/>
  <c r="D49" i="6"/>
  <c r="E49" i="6"/>
  <c r="J116" i="41"/>
  <c r="B40" i="30"/>
  <c r="H40" i="30"/>
  <c r="I40" i="30" s="1"/>
  <c r="F40" i="30"/>
  <c r="G40" i="30"/>
  <c r="I40" i="28"/>
  <c r="F119" i="42"/>
  <c r="B119" i="42"/>
  <c r="G39" i="39"/>
  <c r="F39" i="39"/>
  <c r="B39" i="39"/>
  <c r="H48" i="6"/>
  <c r="I48" i="6" s="1"/>
  <c r="I43" i="23"/>
  <c r="F44" i="23"/>
  <c r="G44" i="23"/>
  <c r="H44" i="23"/>
  <c r="I44" i="23" s="1"/>
  <c r="B44" i="23"/>
  <c r="I36" i="45"/>
  <c r="G117" i="45"/>
  <c r="D118" i="45"/>
  <c r="E118" i="45" s="1"/>
  <c r="D43" i="29"/>
  <c r="E43" i="29"/>
  <c r="H38" i="37"/>
  <c r="I38" i="37" s="1"/>
  <c r="B38" i="37"/>
  <c r="F38" i="37"/>
  <c r="G38" i="37"/>
  <c r="I48" i="10"/>
  <c r="D41" i="31"/>
  <c r="E41" i="31"/>
  <c r="J117" i="44"/>
  <c r="H118" i="42"/>
  <c r="I118" i="42"/>
  <c r="G43" i="27"/>
  <c r="F43" i="27"/>
  <c r="H43" i="27"/>
  <c r="B43" i="27"/>
  <c r="D118" i="43"/>
  <c r="G117" i="43"/>
  <c r="E118" i="43"/>
  <c r="I42" i="29"/>
  <c r="I46" i="5"/>
  <c r="B47" i="4"/>
  <c r="F47" i="4"/>
  <c r="G47" i="4" s="1"/>
  <c r="F37" i="45"/>
  <c r="G37" i="45" s="1"/>
  <c r="H37" i="45"/>
  <c r="B37" i="45"/>
  <c r="J116" i="43"/>
  <c r="F39" i="13"/>
  <c r="B39" i="13"/>
  <c r="G39" i="13"/>
  <c r="H39" i="13"/>
  <c r="I39" i="13" s="1"/>
  <c r="B41" i="28"/>
  <c r="F41" i="28"/>
  <c r="H41" i="28" s="1"/>
  <c r="I41" i="28" s="1"/>
  <c r="G41" i="28"/>
  <c r="G48" i="6"/>
  <c r="F43" i="24"/>
  <c r="B43" i="24"/>
  <c r="B39" i="44"/>
  <c r="F39" i="44"/>
  <c r="H39" i="44"/>
  <c r="G39" i="44"/>
  <c r="J120" i="31"/>
  <c r="B47" i="3"/>
  <c r="F47" i="3"/>
  <c r="H47" i="3" s="1"/>
  <c r="I47" i="3" s="1"/>
  <c r="G47" i="3"/>
  <c r="B50" i="9"/>
  <c r="F50" i="9"/>
  <c r="G50" i="9" s="1"/>
  <c r="H50" i="9"/>
  <c r="F118" i="39"/>
  <c r="B118" i="39"/>
  <c r="D118" i="41"/>
  <c r="G117" i="41"/>
  <c r="E118" i="41"/>
  <c r="B47" i="5"/>
  <c r="F47" i="5"/>
  <c r="H47" i="5"/>
  <c r="B38" i="38"/>
  <c r="F38" i="38"/>
  <c r="G38" i="38"/>
  <c r="H38" i="38"/>
  <c r="I38" i="38" s="1"/>
  <c r="B37" i="42"/>
  <c r="F37" i="42"/>
  <c r="H37" i="42" s="1"/>
  <c r="G50" i="7"/>
  <c r="B50" i="7"/>
  <c r="F50" i="7"/>
  <c r="H50" i="7"/>
  <c r="I50" i="7" s="1"/>
  <c r="H45" i="25"/>
  <c r="G45" i="25"/>
  <c r="B45" i="25"/>
  <c r="F45" i="25"/>
  <c r="G45" i="22"/>
  <c r="H45" i="22"/>
  <c r="I45" i="22" s="1"/>
  <c r="F45" i="22"/>
  <c r="B45" i="22"/>
  <c r="F38" i="43"/>
  <c r="G38" i="43" s="1"/>
  <c r="H38" i="43"/>
  <c r="B38" i="43"/>
  <c r="B49" i="10"/>
  <c r="F49" i="10"/>
  <c r="G49" i="10" s="1"/>
  <c r="H49" i="10"/>
  <c r="F38" i="41"/>
  <c r="B38" i="41"/>
  <c r="F49" i="11"/>
  <c r="H49" i="11"/>
  <c r="G49" i="11"/>
  <c r="B49" i="11"/>
  <c r="E122" i="31"/>
  <c r="D122" i="31"/>
  <c r="G121" i="31"/>
  <c r="I117" i="39"/>
  <c r="H117" i="39"/>
  <c r="F38" i="40"/>
  <c r="G38" i="40"/>
  <c r="B38" i="40"/>
  <c r="H38" i="40"/>
  <c r="I38" i="40" s="1"/>
  <c r="I128" i="10" l="1"/>
  <c r="J128" i="10" s="1"/>
  <c r="H128" i="10"/>
  <c r="D119" i="38"/>
  <c r="G118" i="38"/>
  <c r="E119" i="38"/>
  <c r="H128" i="7"/>
  <c r="I128" i="7"/>
  <c r="J128" i="7" s="1"/>
  <c r="B124" i="23"/>
  <c r="F124" i="23"/>
  <c r="I127" i="9"/>
  <c r="H127" i="9"/>
  <c r="B125" i="22"/>
  <c r="F125" i="22"/>
  <c r="I125" i="4"/>
  <c r="H125" i="4"/>
  <c r="H125" i="3"/>
  <c r="I125" i="3"/>
  <c r="B118" i="37"/>
  <c r="F118" i="37"/>
  <c r="B120" i="30"/>
  <c r="F120" i="30"/>
  <c r="F126" i="5"/>
  <c r="B126" i="5"/>
  <c r="I126" i="6"/>
  <c r="J126" i="6" s="1"/>
  <c r="H126" i="6"/>
  <c r="H123" i="23"/>
  <c r="I123" i="23"/>
  <c r="J123" i="23" s="1"/>
  <c r="B128" i="9"/>
  <c r="F128" i="9"/>
  <c r="H126" i="8"/>
  <c r="I126" i="8"/>
  <c r="J126" i="8" s="1"/>
  <c r="H120" i="28"/>
  <c r="I120" i="28"/>
  <c r="H117" i="37"/>
  <c r="I117" i="37"/>
  <c r="J117" i="37" s="1"/>
  <c r="I124" i="25"/>
  <c r="J124" i="25" s="1"/>
  <c r="H124" i="25"/>
  <c r="J118" i="42"/>
  <c r="H122" i="24"/>
  <c r="I122" i="24"/>
  <c r="J122" i="24" s="1"/>
  <c r="B129" i="10"/>
  <c r="F129" i="10"/>
  <c r="B128" i="11"/>
  <c r="F128" i="11"/>
  <c r="F127" i="6"/>
  <c r="B127" i="6"/>
  <c r="F129" i="7"/>
  <c r="B129" i="7"/>
  <c r="H121" i="27"/>
  <c r="I121" i="27"/>
  <c r="H117" i="40"/>
  <c r="I117" i="40"/>
  <c r="I119" i="30"/>
  <c r="J119" i="30" s="1"/>
  <c r="H119" i="30"/>
  <c r="F123" i="24"/>
  <c r="B123" i="24"/>
  <c r="I125" i="5"/>
  <c r="J125" i="5" s="1"/>
  <c r="H125" i="5"/>
  <c r="I127" i="11"/>
  <c r="H127" i="11"/>
  <c r="F122" i="27"/>
  <c r="B122" i="27"/>
  <c r="F127" i="8"/>
  <c r="B127" i="8"/>
  <c r="H124" i="22"/>
  <c r="I124" i="22"/>
  <c r="J124" i="22" s="1"/>
  <c r="B118" i="40"/>
  <c r="F118" i="40"/>
  <c r="B121" i="28"/>
  <c r="F121" i="28"/>
  <c r="B126" i="4"/>
  <c r="F126" i="4"/>
  <c r="F126" i="3"/>
  <c r="B126" i="3"/>
  <c r="F125" i="25"/>
  <c r="B125" i="25"/>
  <c r="J121" i="29"/>
  <c r="E123" i="29"/>
  <c r="D123" i="29"/>
  <c r="G122" i="29"/>
  <c r="J117" i="39"/>
  <c r="D39" i="41"/>
  <c r="E39" i="41"/>
  <c r="I38" i="43"/>
  <c r="D48" i="5"/>
  <c r="E48" i="5"/>
  <c r="B118" i="45"/>
  <c r="F118" i="45"/>
  <c r="D120" i="42"/>
  <c r="E120" i="42" s="1"/>
  <c r="G119" i="42"/>
  <c r="I45" i="25"/>
  <c r="I39" i="44"/>
  <c r="H121" i="31"/>
  <c r="I121" i="31"/>
  <c r="I49" i="11"/>
  <c r="D40" i="13"/>
  <c r="E40" i="13"/>
  <c r="H117" i="43"/>
  <c r="I117" i="43"/>
  <c r="B43" i="29"/>
  <c r="F43" i="29"/>
  <c r="H43" i="29"/>
  <c r="D40" i="39"/>
  <c r="E40" i="39"/>
  <c r="I119" i="13"/>
  <c r="H119" i="13"/>
  <c r="D39" i="40"/>
  <c r="E39" i="40"/>
  <c r="F122" i="31"/>
  <c r="B122" i="31"/>
  <c r="D50" i="11"/>
  <c r="E50" i="11"/>
  <c r="D46" i="22"/>
  <c r="E46" i="22"/>
  <c r="D51" i="7"/>
  <c r="E51" i="7"/>
  <c r="E39" i="38"/>
  <c r="D39" i="38"/>
  <c r="I117" i="41"/>
  <c r="H117" i="41"/>
  <c r="F118" i="43"/>
  <c r="B118" i="43"/>
  <c r="H39" i="39"/>
  <c r="I39" i="39" s="1"/>
  <c r="D41" i="30"/>
  <c r="E41" i="30"/>
  <c r="D48" i="8"/>
  <c r="E48" i="8"/>
  <c r="D44" i="24"/>
  <c r="E44" i="24"/>
  <c r="D48" i="4"/>
  <c r="E48" i="4"/>
  <c r="G43" i="24"/>
  <c r="B118" i="41"/>
  <c r="F118" i="41"/>
  <c r="B119" i="44"/>
  <c r="I49" i="10"/>
  <c r="H47" i="4"/>
  <c r="I47" i="4" s="1"/>
  <c r="B120" i="13"/>
  <c r="F120" i="13"/>
  <c r="G38" i="41"/>
  <c r="D48" i="3"/>
  <c r="E48" i="3"/>
  <c r="D42" i="28"/>
  <c r="E42" i="28"/>
  <c r="I37" i="45"/>
  <c r="I43" i="27"/>
  <c r="H118" i="44"/>
  <c r="I118" i="44"/>
  <c r="H38" i="41"/>
  <c r="D46" i="25"/>
  <c r="E46" i="25"/>
  <c r="G47" i="5"/>
  <c r="I47" i="5" s="1"/>
  <c r="G118" i="39"/>
  <c r="D119" i="39"/>
  <c r="E119" i="39"/>
  <c r="H43" i="24"/>
  <c r="D38" i="45"/>
  <c r="E38" i="45"/>
  <c r="D44" i="27"/>
  <c r="E44" i="27"/>
  <c r="B41" i="31"/>
  <c r="F41" i="31"/>
  <c r="H41" i="31" s="1"/>
  <c r="E39" i="37"/>
  <c r="D39" i="37"/>
  <c r="E45" i="23"/>
  <c r="D45" i="23"/>
  <c r="E119" i="44"/>
  <c r="F119" i="44" s="1"/>
  <c r="D38" i="42"/>
  <c r="E38" i="42"/>
  <c r="I50" i="9"/>
  <c r="D51" i="9"/>
  <c r="E51" i="9"/>
  <c r="B49" i="6"/>
  <c r="F49" i="6"/>
  <c r="G49" i="6"/>
  <c r="H49" i="6"/>
  <c r="I49" i="6" s="1"/>
  <c r="D50" i="10"/>
  <c r="E50" i="10"/>
  <c r="D39" i="43"/>
  <c r="E39" i="43"/>
  <c r="G37" i="42"/>
  <c r="I37" i="42" s="1"/>
  <c r="I117" i="45"/>
  <c r="H117" i="45"/>
  <c r="D40" i="44"/>
  <c r="E40" i="44"/>
  <c r="E127" i="4" l="1"/>
  <c r="G126" i="4"/>
  <c r="D127" i="4"/>
  <c r="E119" i="40"/>
  <c r="D119" i="40"/>
  <c r="G118" i="40"/>
  <c r="J117" i="40"/>
  <c r="E129" i="11"/>
  <c r="D129" i="11"/>
  <c r="G128" i="11"/>
  <c r="I118" i="38"/>
  <c r="J118" i="38" s="1"/>
  <c r="H118" i="38"/>
  <c r="J117" i="41"/>
  <c r="J121" i="31"/>
  <c r="G125" i="25"/>
  <c r="D126" i="25"/>
  <c r="E126" i="25"/>
  <c r="G127" i="8"/>
  <c r="D128" i="8"/>
  <c r="E128" i="8"/>
  <c r="J127" i="11"/>
  <c r="D124" i="24"/>
  <c r="E124" i="24"/>
  <c r="G123" i="24"/>
  <c r="D130" i="7"/>
  <c r="G129" i="7"/>
  <c r="E130" i="7"/>
  <c r="D119" i="37"/>
  <c r="G118" i="37"/>
  <c r="E119" i="37"/>
  <c r="B119" i="38"/>
  <c r="F119" i="38"/>
  <c r="E122" i="28"/>
  <c r="D122" i="28"/>
  <c r="G121" i="28"/>
  <c r="J121" i="27"/>
  <c r="E130" i="10"/>
  <c r="G129" i="10"/>
  <c r="D130" i="10"/>
  <c r="D127" i="5"/>
  <c r="G126" i="5"/>
  <c r="E127" i="5"/>
  <c r="J125" i="4"/>
  <c r="J127" i="9"/>
  <c r="E127" i="3"/>
  <c r="D127" i="3"/>
  <c r="G126" i="3"/>
  <c r="E123" i="27"/>
  <c r="D123" i="27"/>
  <c r="G122" i="27"/>
  <c r="E128" i="6"/>
  <c r="G127" i="6"/>
  <c r="D128" i="6"/>
  <c r="J120" i="28"/>
  <c r="G128" i="9"/>
  <c r="E129" i="9"/>
  <c r="D129" i="9"/>
  <c r="E121" i="30"/>
  <c r="G120" i="30"/>
  <c r="D121" i="30"/>
  <c r="J125" i="3"/>
  <c r="G125" i="22"/>
  <c r="E126" i="22"/>
  <c r="D126" i="22"/>
  <c r="D125" i="23"/>
  <c r="G124" i="23"/>
  <c r="E125" i="23"/>
  <c r="I122" i="29"/>
  <c r="H122" i="29"/>
  <c r="J117" i="45"/>
  <c r="B123" i="29"/>
  <c r="F123" i="29"/>
  <c r="J117" i="43"/>
  <c r="D120" i="44"/>
  <c r="E120" i="44" s="1"/>
  <c r="G119" i="44"/>
  <c r="F39" i="43"/>
  <c r="H39" i="43"/>
  <c r="B39" i="43"/>
  <c r="G39" i="43"/>
  <c r="D50" i="6"/>
  <c r="E50" i="6"/>
  <c r="G118" i="41"/>
  <c r="D119" i="41"/>
  <c r="E119" i="41"/>
  <c r="B50" i="10"/>
  <c r="F50" i="10"/>
  <c r="H50" i="10"/>
  <c r="G50" i="10"/>
  <c r="F44" i="27"/>
  <c r="G44" i="27"/>
  <c r="H44" i="27"/>
  <c r="I44" i="27" s="1"/>
  <c r="B44" i="27"/>
  <c r="I38" i="41"/>
  <c r="G51" i="7"/>
  <c r="B51" i="7"/>
  <c r="F51" i="7"/>
  <c r="H39" i="40"/>
  <c r="B39" i="40"/>
  <c r="G39" i="40"/>
  <c r="F39" i="40"/>
  <c r="F41" i="30"/>
  <c r="H41" i="30"/>
  <c r="G41" i="30"/>
  <c r="B41" i="30"/>
  <c r="G118" i="45"/>
  <c r="D119" i="45"/>
  <c r="E119" i="45" s="1"/>
  <c r="G41" i="31"/>
  <c r="I41" i="31" s="1"/>
  <c r="F119" i="39"/>
  <c r="B119" i="39"/>
  <c r="F120" i="42"/>
  <c r="B120" i="42"/>
  <c r="F48" i="4"/>
  <c r="H48" i="4"/>
  <c r="B48" i="4"/>
  <c r="F38" i="42"/>
  <c r="B38" i="42"/>
  <c r="I118" i="39"/>
  <c r="H118" i="39"/>
  <c r="G120" i="13"/>
  <c r="D121" i="13"/>
  <c r="E121" i="13" s="1"/>
  <c r="B48" i="8"/>
  <c r="F48" i="8"/>
  <c r="F39" i="38"/>
  <c r="G39" i="38"/>
  <c r="B39" i="38"/>
  <c r="F46" i="22"/>
  <c r="G46" i="22"/>
  <c r="H46" i="22"/>
  <c r="I46" i="22" s="1"/>
  <c r="B46" i="22"/>
  <c r="J119" i="13"/>
  <c r="F50" i="11"/>
  <c r="G50" i="11" s="1"/>
  <c r="B50" i="11"/>
  <c r="F51" i="9"/>
  <c r="G51" i="9"/>
  <c r="H51" i="9"/>
  <c r="I51" i="9" s="1"/>
  <c r="B51" i="9"/>
  <c r="G39" i="37"/>
  <c r="H39" i="37"/>
  <c r="I39" i="37" s="1"/>
  <c r="B39" i="37"/>
  <c r="F39" i="37"/>
  <c r="G38" i="45"/>
  <c r="H38" i="45"/>
  <c r="I38" i="45" s="1"/>
  <c r="B38" i="45"/>
  <c r="F38" i="45"/>
  <c r="J118" i="44"/>
  <c r="H48" i="3"/>
  <c r="I48" i="3" s="1"/>
  <c r="G48" i="3"/>
  <c r="B48" i="3"/>
  <c r="F48" i="3"/>
  <c r="G118" i="43"/>
  <c r="D119" i="43"/>
  <c r="E119" i="43"/>
  <c r="F48" i="5"/>
  <c r="G48" i="5"/>
  <c r="B48" i="5"/>
  <c r="D42" i="31"/>
  <c r="E42" i="31"/>
  <c r="B40" i="39"/>
  <c r="F40" i="39"/>
  <c r="G40" i="39"/>
  <c r="F40" i="13"/>
  <c r="B40" i="13"/>
  <c r="G40" i="13"/>
  <c r="H40" i="13"/>
  <c r="G39" i="41"/>
  <c r="B39" i="41"/>
  <c r="H39" i="41"/>
  <c r="I39" i="41" s="1"/>
  <c r="F39" i="41"/>
  <c r="G44" i="24"/>
  <c r="H44" i="24"/>
  <c r="I44" i="24" s="1"/>
  <c r="F44" i="24"/>
  <c r="B44" i="24"/>
  <c r="E123" i="31"/>
  <c r="D123" i="31"/>
  <c r="G122" i="31"/>
  <c r="D44" i="29"/>
  <c r="E44" i="29"/>
  <c r="B40" i="44"/>
  <c r="F40" i="44"/>
  <c r="B45" i="23"/>
  <c r="F45" i="23"/>
  <c r="H45" i="23" s="1"/>
  <c r="I43" i="24"/>
  <c r="B46" i="25"/>
  <c r="H46" i="25"/>
  <c r="F46" i="25"/>
  <c r="B42" i="28"/>
  <c r="F42" i="28"/>
  <c r="H42" i="28"/>
  <c r="G42" i="28"/>
  <c r="G43" i="29"/>
  <c r="I43" i="29" s="1"/>
  <c r="H119" i="42"/>
  <c r="I119" i="42"/>
  <c r="J119" i="42" l="1"/>
  <c r="J122" i="29"/>
  <c r="F126" i="22"/>
  <c r="B126" i="22"/>
  <c r="B121" i="30"/>
  <c r="F121" i="30"/>
  <c r="I127" i="6"/>
  <c r="H127" i="6"/>
  <c r="B127" i="5"/>
  <c r="F127" i="5"/>
  <c r="E120" i="38"/>
  <c r="D120" i="38"/>
  <c r="G119" i="38"/>
  <c r="B119" i="37"/>
  <c r="F119" i="37"/>
  <c r="I123" i="24"/>
  <c r="J123" i="24" s="1"/>
  <c r="H123" i="24"/>
  <c r="B126" i="25"/>
  <c r="F126" i="25"/>
  <c r="I120" i="30"/>
  <c r="J120" i="30" s="1"/>
  <c r="H120" i="30"/>
  <c r="I128" i="9"/>
  <c r="H128" i="9"/>
  <c r="I126" i="3"/>
  <c r="J126" i="3" s="1"/>
  <c r="H126" i="3"/>
  <c r="F130" i="10"/>
  <c r="B130" i="10"/>
  <c r="H121" i="28"/>
  <c r="I121" i="28"/>
  <c r="F128" i="8"/>
  <c r="B128" i="8"/>
  <c r="H125" i="25"/>
  <c r="I125" i="25"/>
  <c r="F127" i="4"/>
  <c r="B127" i="4"/>
  <c r="I124" i="23"/>
  <c r="J124" i="23" s="1"/>
  <c r="H124" i="23"/>
  <c r="I125" i="22"/>
  <c r="H125" i="22"/>
  <c r="H122" i="27"/>
  <c r="I122" i="27"/>
  <c r="B127" i="3"/>
  <c r="F127" i="3"/>
  <c r="I129" i="10"/>
  <c r="J129" i="10" s="1"/>
  <c r="H129" i="10"/>
  <c r="F122" i="28"/>
  <c r="B122" i="28"/>
  <c r="H129" i="7"/>
  <c r="I129" i="7"/>
  <c r="F124" i="24"/>
  <c r="B124" i="24"/>
  <c r="I127" i="8"/>
  <c r="J127" i="8" s="1"/>
  <c r="H127" i="8"/>
  <c r="H128" i="11"/>
  <c r="I128" i="11"/>
  <c r="J128" i="11" s="1"/>
  <c r="I118" i="40"/>
  <c r="J118" i="40" s="1"/>
  <c r="H118" i="40"/>
  <c r="H126" i="4"/>
  <c r="I126" i="4"/>
  <c r="J126" i="4" s="1"/>
  <c r="F125" i="23"/>
  <c r="B125" i="23"/>
  <c r="B129" i="9"/>
  <c r="F129" i="9"/>
  <c r="B128" i="6"/>
  <c r="F128" i="6"/>
  <c r="F123" i="27"/>
  <c r="B123" i="27"/>
  <c r="I126" i="5"/>
  <c r="J126" i="5" s="1"/>
  <c r="H126" i="5"/>
  <c r="I118" i="37"/>
  <c r="H118" i="37"/>
  <c r="F130" i="7"/>
  <c r="B130" i="7"/>
  <c r="B129" i="11"/>
  <c r="F129" i="11"/>
  <c r="F119" i="40"/>
  <c r="B119" i="40"/>
  <c r="E124" i="29"/>
  <c r="D124" i="29"/>
  <c r="G123" i="29"/>
  <c r="I122" i="31"/>
  <c r="H122" i="31"/>
  <c r="H50" i="11"/>
  <c r="I50" i="11" s="1"/>
  <c r="D49" i="5"/>
  <c r="E49" i="5"/>
  <c r="D41" i="44"/>
  <c r="E41" i="44"/>
  <c r="B42" i="31"/>
  <c r="F42" i="31"/>
  <c r="H42" i="31" s="1"/>
  <c r="I42" i="31" s="1"/>
  <c r="G42" i="31"/>
  <c r="D49" i="3"/>
  <c r="E49" i="3"/>
  <c r="D49" i="4"/>
  <c r="E49" i="4"/>
  <c r="I41" i="30"/>
  <c r="I50" i="10"/>
  <c r="I120" i="13"/>
  <c r="H120" i="13"/>
  <c r="D41" i="39"/>
  <c r="E41" i="39"/>
  <c r="I42" i="28"/>
  <c r="G40" i="44"/>
  <c r="D43" i="28"/>
  <c r="E43" i="28"/>
  <c r="H48" i="5"/>
  <c r="I48" i="5" s="1"/>
  <c r="I73" i="5" s="1"/>
  <c r="E40" i="38"/>
  <c r="D40" i="38"/>
  <c r="D42" i="30"/>
  <c r="E42" i="30"/>
  <c r="I39" i="40"/>
  <c r="D51" i="10"/>
  <c r="E51" i="10"/>
  <c r="D49" i="8"/>
  <c r="E49" i="8"/>
  <c r="E39" i="42"/>
  <c r="D39" i="42"/>
  <c r="D45" i="24"/>
  <c r="E45" i="24"/>
  <c r="I40" i="13"/>
  <c r="H48" i="8"/>
  <c r="B121" i="13"/>
  <c r="F121" i="13"/>
  <c r="H38" i="42"/>
  <c r="D121" i="42"/>
  <c r="E121" i="42" s="1"/>
  <c r="G120" i="42"/>
  <c r="D52" i="7"/>
  <c r="E52" i="7"/>
  <c r="F50" i="6"/>
  <c r="B50" i="6"/>
  <c r="D46" i="23"/>
  <c r="E46" i="23"/>
  <c r="D51" i="11"/>
  <c r="E51" i="11"/>
  <c r="H119" i="44"/>
  <c r="I119" i="44"/>
  <c r="G38" i="42"/>
  <c r="F119" i="45"/>
  <c r="B119" i="45"/>
  <c r="G45" i="23"/>
  <c r="I45" i="23" s="1"/>
  <c r="F123" i="31"/>
  <c r="B123" i="31"/>
  <c r="D41" i="13"/>
  <c r="E41" i="13" s="1"/>
  <c r="I118" i="43"/>
  <c r="H118" i="43"/>
  <c r="D39" i="45"/>
  <c r="E39" i="45"/>
  <c r="D52" i="9"/>
  <c r="E52" i="9"/>
  <c r="D47" i="22"/>
  <c r="E47" i="22"/>
  <c r="G48" i="8"/>
  <c r="J118" i="39"/>
  <c r="I118" i="45"/>
  <c r="H118" i="45"/>
  <c r="H51" i="7"/>
  <c r="I51" i="7" s="1"/>
  <c r="H118" i="41"/>
  <c r="I118" i="41"/>
  <c r="I39" i="43"/>
  <c r="B120" i="44"/>
  <c r="F120" i="44"/>
  <c r="B44" i="29"/>
  <c r="F44" i="29"/>
  <c r="H44" i="29" s="1"/>
  <c r="B119" i="43"/>
  <c r="F119" i="43"/>
  <c r="E120" i="39"/>
  <c r="G119" i="39"/>
  <c r="D120" i="39"/>
  <c r="B119" i="41"/>
  <c r="F119" i="41"/>
  <c r="E47" i="25"/>
  <c r="D47" i="25"/>
  <c r="G46" i="25"/>
  <c r="I46" i="25" s="1"/>
  <c r="H40" i="44"/>
  <c r="I40" i="44" s="1"/>
  <c r="D40" i="41"/>
  <c r="E40" i="41"/>
  <c r="H40" i="39"/>
  <c r="I40" i="39" s="1"/>
  <c r="D40" i="37"/>
  <c r="E40" i="37"/>
  <c r="H39" i="38"/>
  <c r="I39" i="38" s="1"/>
  <c r="G48" i="4"/>
  <c r="I48" i="4" s="1"/>
  <c r="D40" i="40"/>
  <c r="E40" i="40"/>
  <c r="D45" i="27"/>
  <c r="E45" i="27"/>
  <c r="D40" i="43"/>
  <c r="E40" i="43"/>
  <c r="G119" i="40" l="1"/>
  <c r="D120" i="40"/>
  <c r="E120" i="40"/>
  <c r="G130" i="7"/>
  <c r="D131" i="7"/>
  <c r="E131" i="7"/>
  <c r="E126" i="23"/>
  <c r="G125" i="23"/>
  <c r="D126" i="23"/>
  <c r="F120" i="38"/>
  <c r="B120" i="38"/>
  <c r="D130" i="11"/>
  <c r="E130" i="11"/>
  <c r="G129" i="11"/>
  <c r="G129" i="9"/>
  <c r="E130" i="9"/>
  <c r="D130" i="9"/>
  <c r="G127" i="3"/>
  <c r="D128" i="3"/>
  <c r="E128" i="3"/>
  <c r="E127" i="25"/>
  <c r="G126" i="25"/>
  <c r="D127" i="25"/>
  <c r="G119" i="37"/>
  <c r="D120" i="37"/>
  <c r="E120" i="37"/>
  <c r="J127" i="6"/>
  <c r="D127" i="22"/>
  <c r="E127" i="22"/>
  <c r="G126" i="22"/>
  <c r="J118" i="37"/>
  <c r="E124" i="27"/>
  <c r="D124" i="27"/>
  <c r="G123" i="27"/>
  <c r="D125" i="24"/>
  <c r="E125" i="24"/>
  <c r="G124" i="24"/>
  <c r="D123" i="28"/>
  <c r="G122" i="28"/>
  <c r="E123" i="28"/>
  <c r="J125" i="22"/>
  <c r="E128" i="4"/>
  <c r="G127" i="4"/>
  <c r="D128" i="4"/>
  <c r="E129" i="8"/>
  <c r="G128" i="8"/>
  <c r="D129" i="8"/>
  <c r="D131" i="10"/>
  <c r="E131" i="10"/>
  <c r="G130" i="10"/>
  <c r="J128" i="9"/>
  <c r="E128" i="5"/>
  <c r="D128" i="5"/>
  <c r="G127" i="5"/>
  <c r="E122" i="30"/>
  <c r="D122" i="30"/>
  <c r="G121" i="30"/>
  <c r="E129" i="6"/>
  <c r="G128" i="6"/>
  <c r="D129" i="6"/>
  <c r="J129" i="7"/>
  <c r="J122" i="27"/>
  <c r="J125" i="25"/>
  <c r="J121" i="28"/>
  <c r="I119" i="38"/>
  <c r="J119" i="38" s="1"/>
  <c r="H119" i="38"/>
  <c r="H123" i="29"/>
  <c r="I123" i="29"/>
  <c r="F124" i="29"/>
  <c r="B124" i="29"/>
  <c r="D121" i="44"/>
  <c r="E121" i="44" s="1"/>
  <c r="G120" i="44"/>
  <c r="F47" i="25"/>
  <c r="H47" i="25"/>
  <c r="G47" i="25"/>
  <c r="B47" i="25"/>
  <c r="J118" i="45"/>
  <c r="J118" i="43"/>
  <c r="B46" i="23"/>
  <c r="F46" i="23"/>
  <c r="G46" i="23"/>
  <c r="F51" i="10"/>
  <c r="H51" i="10"/>
  <c r="B51" i="10"/>
  <c r="G51" i="10"/>
  <c r="I48" i="8"/>
  <c r="H119" i="39"/>
  <c r="I119" i="39"/>
  <c r="F40" i="43"/>
  <c r="G40" i="43" s="1"/>
  <c r="B40" i="43"/>
  <c r="F40" i="37"/>
  <c r="G40" i="37" s="1"/>
  <c r="B40" i="37"/>
  <c r="G119" i="43"/>
  <c r="D120" i="43"/>
  <c r="E120" i="43"/>
  <c r="D120" i="45"/>
  <c r="E120" i="45" s="1"/>
  <c r="G119" i="45"/>
  <c r="F121" i="42"/>
  <c r="B121" i="42"/>
  <c r="F49" i="8"/>
  <c r="B49" i="8"/>
  <c r="J120" i="13"/>
  <c r="B52" i="9"/>
  <c r="F52" i="9"/>
  <c r="G52" i="9"/>
  <c r="E51" i="6"/>
  <c r="D51" i="6"/>
  <c r="B40" i="41"/>
  <c r="F40" i="41"/>
  <c r="H40" i="41" s="1"/>
  <c r="G119" i="41"/>
  <c r="D120" i="41"/>
  <c r="E120" i="41"/>
  <c r="J118" i="41"/>
  <c r="G50" i="6"/>
  <c r="I38" i="42"/>
  <c r="D43" i="31"/>
  <c r="E43" i="31"/>
  <c r="F49" i="5"/>
  <c r="B49" i="5"/>
  <c r="F40" i="40"/>
  <c r="G40" i="40" s="1"/>
  <c r="B40" i="40"/>
  <c r="I120" i="42"/>
  <c r="H120" i="42"/>
  <c r="F45" i="27"/>
  <c r="G45" i="27"/>
  <c r="B45" i="27"/>
  <c r="J119" i="44"/>
  <c r="H50" i="6"/>
  <c r="I50" i="6" s="1"/>
  <c r="D122" i="13"/>
  <c r="G121" i="13"/>
  <c r="B42" i="30"/>
  <c r="F42" i="30"/>
  <c r="G42" i="30" s="1"/>
  <c r="H42" i="30"/>
  <c r="D45" i="29"/>
  <c r="E45" i="29"/>
  <c r="G41" i="44"/>
  <c r="B41" i="44"/>
  <c r="F41" i="44"/>
  <c r="H41" i="44"/>
  <c r="I41" i="44" s="1"/>
  <c r="B49" i="4"/>
  <c r="G49" i="4"/>
  <c r="H49" i="4"/>
  <c r="I49" i="4" s="1"/>
  <c r="F49" i="4"/>
  <c r="G45" i="24"/>
  <c r="B45" i="24"/>
  <c r="F45" i="24"/>
  <c r="H45" i="24"/>
  <c r="I45" i="24" s="1"/>
  <c r="F120" i="39"/>
  <c r="B120" i="39"/>
  <c r="G44" i="29"/>
  <c r="I44" i="29" s="1"/>
  <c r="B39" i="45"/>
  <c r="F39" i="45"/>
  <c r="H39" i="45"/>
  <c r="I39" i="45" s="1"/>
  <c r="G39" i="45"/>
  <c r="D124" i="31"/>
  <c r="G123" i="31"/>
  <c r="E124" i="31"/>
  <c r="B51" i="11"/>
  <c r="F51" i="11"/>
  <c r="B52" i="7"/>
  <c r="F52" i="7"/>
  <c r="H39" i="42"/>
  <c r="F39" i="42"/>
  <c r="B39" i="42"/>
  <c r="G39" i="42"/>
  <c r="H40" i="38"/>
  <c r="B40" i="38"/>
  <c r="F40" i="38"/>
  <c r="B43" i="28"/>
  <c r="F43" i="28"/>
  <c r="G43" i="28" s="1"/>
  <c r="F41" i="39"/>
  <c r="G41" i="39" s="1"/>
  <c r="B41" i="39"/>
  <c r="J122" i="31"/>
  <c r="B41" i="13"/>
  <c r="H41" i="13"/>
  <c r="F41" i="13"/>
  <c r="F47" i="22"/>
  <c r="G47" i="22" s="1"/>
  <c r="B47" i="22"/>
  <c r="F49" i="3"/>
  <c r="H49" i="3"/>
  <c r="G49" i="3"/>
  <c r="B49" i="3"/>
  <c r="B129" i="6" l="1"/>
  <c r="F129" i="6"/>
  <c r="F122" i="30"/>
  <c r="B122" i="30"/>
  <c r="B131" i="10"/>
  <c r="F131" i="10"/>
  <c r="B128" i="4"/>
  <c r="F128" i="4"/>
  <c r="B127" i="22"/>
  <c r="F127" i="22"/>
  <c r="I119" i="37"/>
  <c r="J119" i="37" s="1"/>
  <c r="H119" i="37"/>
  <c r="F130" i="11"/>
  <c r="B130" i="11"/>
  <c r="I125" i="23"/>
  <c r="J125" i="23" s="1"/>
  <c r="H125" i="23"/>
  <c r="I130" i="7"/>
  <c r="J130" i="7" s="1"/>
  <c r="H130" i="7"/>
  <c r="I128" i="6"/>
  <c r="J128" i="6" s="1"/>
  <c r="H128" i="6"/>
  <c r="B129" i="8"/>
  <c r="F129" i="8"/>
  <c r="I127" i="4"/>
  <c r="J127" i="4" s="1"/>
  <c r="H127" i="4"/>
  <c r="I122" i="28"/>
  <c r="J122" i="28" s="1"/>
  <c r="H122" i="28"/>
  <c r="B125" i="24"/>
  <c r="F125" i="24"/>
  <c r="B127" i="25"/>
  <c r="F127" i="25"/>
  <c r="B128" i="3"/>
  <c r="F128" i="3"/>
  <c r="I129" i="9"/>
  <c r="J129" i="9" s="1"/>
  <c r="H129" i="9"/>
  <c r="J123" i="29"/>
  <c r="I127" i="5"/>
  <c r="H127" i="5"/>
  <c r="I130" i="10"/>
  <c r="H130" i="10"/>
  <c r="I128" i="8"/>
  <c r="H128" i="8"/>
  <c r="B123" i="28"/>
  <c r="F123" i="28"/>
  <c r="H123" i="27"/>
  <c r="I123" i="27"/>
  <c r="J123" i="27" s="1"/>
  <c r="I126" i="22"/>
  <c r="H126" i="22"/>
  <c r="I126" i="25"/>
  <c r="H126" i="25"/>
  <c r="H127" i="3"/>
  <c r="I127" i="3"/>
  <c r="J127" i="3" s="1"/>
  <c r="I129" i="11"/>
  <c r="H129" i="11"/>
  <c r="E121" i="38"/>
  <c r="G120" i="38"/>
  <c r="D121" i="38"/>
  <c r="F120" i="40"/>
  <c r="B120" i="40"/>
  <c r="I121" i="30"/>
  <c r="J121" i="30" s="1"/>
  <c r="H121" i="30"/>
  <c r="B128" i="5"/>
  <c r="F128" i="5"/>
  <c r="H124" i="24"/>
  <c r="I124" i="24"/>
  <c r="F124" i="27"/>
  <c r="B124" i="27"/>
  <c r="F120" i="37"/>
  <c r="B120" i="37"/>
  <c r="B130" i="9"/>
  <c r="F130" i="9"/>
  <c r="B126" i="23"/>
  <c r="F126" i="23"/>
  <c r="F131" i="7"/>
  <c r="B131" i="7"/>
  <c r="H119" i="40"/>
  <c r="I119" i="40"/>
  <c r="G124" i="29"/>
  <c r="D125" i="29"/>
  <c r="E125" i="29"/>
  <c r="E52" i="11"/>
  <c r="D52" i="11"/>
  <c r="F45" i="29"/>
  <c r="B45" i="29"/>
  <c r="H45" i="29"/>
  <c r="H121" i="13"/>
  <c r="I121" i="13"/>
  <c r="G40" i="41"/>
  <c r="I40" i="41" s="1"/>
  <c r="G51" i="6"/>
  <c r="F51" i="6"/>
  <c r="H51" i="6"/>
  <c r="I51" i="6" s="1"/>
  <c r="B51" i="6"/>
  <c r="D50" i="8"/>
  <c r="E50" i="8"/>
  <c r="D42" i="13"/>
  <c r="E42" i="13"/>
  <c r="H43" i="28"/>
  <c r="I43" i="28" s="1"/>
  <c r="B122" i="13"/>
  <c r="D46" i="27"/>
  <c r="E46" i="27"/>
  <c r="D47" i="23"/>
  <c r="E47" i="23"/>
  <c r="D41" i="41"/>
  <c r="E41" i="41"/>
  <c r="D41" i="37"/>
  <c r="E41" i="37"/>
  <c r="I47" i="25"/>
  <c r="I123" i="31"/>
  <c r="H123" i="31"/>
  <c r="I42" i="30"/>
  <c r="J120" i="42"/>
  <c r="D50" i="5"/>
  <c r="E50" i="5"/>
  <c r="D53" i="9"/>
  <c r="E53" i="9"/>
  <c r="H46" i="23"/>
  <c r="I46" i="23" s="1"/>
  <c r="D48" i="25"/>
  <c r="E48" i="25"/>
  <c r="I40" i="38"/>
  <c r="I49" i="3"/>
  <c r="D53" i="7"/>
  <c r="E53" i="7"/>
  <c r="H52" i="7"/>
  <c r="B124" i="31"/>
  <c r="F124" i="31"/>
  <c r="D121" i="39"/>
  <c r="E121" i="39"/>
  <c r="G120" i="39"/>
  <c r="D46" i="24"/>
  <c r="E46" i="24"/>
  <c r="D42" i="44"/>
  <c r="E42" i="44"/>
  <c r="H49" i="5"/>
  <c r="H52" i="9"/>
  <c r="I52" i="9" s="1"/>
  <c r="D122" i="42"/>
  <c r="G121" i="42"/>
  <c r="H40" i="43"/>
  <c r="I40" i="43" s="1"/>
  <c r="D50" i="3"/>
  <c r="E50" i="3"/>
  <c r="G41" i="13"/>
  <c r="I41" i="13" s="1"/>
  <c r="E41" i="38"/>
  <c r="D41" i="38"/>
  <c r="D40" i="42"/>
  <c r="E40" i="42"/>
  <c r="G52" i="7"/>
  <c r="D43" i="30"/>
  <c r="E43" i="30"/>
  <c r="G49" i="5"/>
  <c r="B120" i="43"/>
  <c r="F120" i="43"/>
  <c r="I120" i="44"/>
  <c r="H120" i="44"/>
  <c r="I39" i="42"/>
  <c r="H51" i="11"/>
  <c r="I51" i="11" s="1"/>
  <c r="H45" i="27"/>
  <c r="I45" i="27" s="1"/>
  <c r="D41" i="40"/>
  <c r="E41" i="40"/>
  <c r="F120" i="41"/>
  <c r="B120" i="41"/>
  <c r="H49" i="8"/>
  <c r="I119" i="45"/>
  <c r="H119" i="45"/>
  <c r="I119" i="43"/>
  <c r="H119" i="43"/>
  <c r="D41" i="43"/>
  <c r="E41" i="43"/>
  <c r="I51" i="10"/>
  <c r="B121" i="44"/>
  <c r="F121" i="44"/>
  <c r="D48" i="22"/>
  <c r="E48" i="22"/>
  <c r="D42" i="39"/>
  <c r="E42" i="39"/>
  <c r="D44" i="28"/>
  <c r="E44" i="28"/>
  <c r="H47" i="22"/>
  <c r="I47" i="22" s="1"/>
  <c r="H41" i="39"/>
  <c r="I41" i="39" s="1"/>
  <c r="G40" i="38"/>
  <c r="G51" i="11"/>
  <c r="D40" i="45"/>
  <c r="E40" i="45"/>
  <c r="D50" i="4"/>
  <c r="E50" i="4"/>
  <c r="E122" i="13"/>
  <c r="F122" i="13" s="1"/>
  <c r="H40" i="40"/>
  <c r="I40" i="40" s="1"/>
  <c r="B43" i="31"/>
  <c r="F43" i="31"/>
  <c r="G43" i="31" s="1"/>
  <c r="H119" i="41"/>
  <c r="I119" i="41"/>
  <c r="G49" i="8"/>
  <c r="B120" i="45"/>
  <c r="F120" i="45"/>
  <c r="H40" i="37"/>
  <c r="I40" i="37" s="1"/>
  <c r="J119" i="39"/>
  <c r="D52" i="10"/>
  <c r="E52" i="10"/>
  <c r="J119" i="40" l="1"/>
  <c r="E127" i="23"/>
  <c r="G126" i="23"/>
  <c r="D127" i="23"/>
  <c r="J124" i="24"/>
  <c r="B121" i="38"/>
  <c r="F121" i="38"/>
  <c r="J129" i="11"/>
  <c r="J126" i="25"/>
  <c r="J128" i="8"/>
  <c r="J127" i="5"/>
  <c r="D129" i="3"/>
  <c r="G128" i="3"/>
  <c r="E129" i="3"/>
  <c r="E126" i="24"/>
  <c r="G125" i="24"/>
  <c r="D126" i="24"/>
  <c r="E129" i="4"/>
  <c r="G128" i="4"/>
  <c r="D129" i="4"/>
  <c r="D121" i="37"/>
  <c r="E121" i="37"/>
  <c r="G120" i="37"/>
  <c r="H120" i="38"/>
  <c r="I120" i="38"/>
  <c r="J120" i="38" s="1"/>
  <c r="E124" i="28"/>
  <c r="D124" i="28"/>
  <c r="G123" i="28"/>
  <c r="G122" i="30"/>
  <c r="D123" i="30"/>
  <c r="E123" i="30"/>
  <c r="J119" i="41"/>
  <c r="J121" i="13"/>
  <c r="G130" i="9"/>
  <c r="E131" i="9"/>
  <c r="D131" i="9"/>
  <c r="D129" i="5"/>
  <c r="G128" i="5"/>
  <c r="E129" i="5"/>
  <c r="J126" i="22"/>
  <c r="J130" i="10"/>
  <c r="D128" i="25"/>
  <c r="E128" i="25"/>
  <c r="G127" i="25"/>
  <c r="G129" i="8"/>
  <c r="E130" i="8"/>
  <c r="D130" i="8"/>
  <c r="G127" i="22"/>
  <c r="E128" i="22"/>
  <c r="D128" i="22"/>
  <c r="G131" i="10"/>
  <c r="E132" i="10"/>
  <c r="D132" i="10"/>
  <c r="G129" i="6"/>
  <c r="E130" i="6"/>
  <c r="D130" i="6"/>
  <c r="D132" i="7"/>
  <c r="E132" i="7"/>
  <c r="G131" i="7"/>
  <c r="G124" i="27"/>
  <c r="E125" i="27"/>
  <c r="D125" i="27"/>
  <c r="D121" i="40"/>
  <c r="E121" i="40"/>
  <c r="G120" i="40"/>
  <c r="D131" i="11"/>
  <c r="G130" i="11"/>
  <c r="E131" i="11"/>
  <c r="F125" i="29"/>
  <c r="B125" i="29"/>
  <c r="I124" i="29"/>
  <c r="J124" i="29" s="1"/>
  <c r="H124" i="29"/>
  <c r="J123" i="31"/>
  <c r="G122" i="13"/>
  <c r="D123" i="13"/>
  <c r="B41" i="40"/>
  <c r="F41" i="40"/>
  <c r="G41" i="40" s="1"/>
  <c r="H41" i="40"/>
  <c r="B53" i="7"/>
  <c r="F53" i="7"/>
  <c r="H53" i="7"/>
  <c r="H43" i="31"/>
  <c r="I43" i="31" s="1"/>
  <c r="F50" i="4"/>
  <c r="H50" i="4"/>
  <c r="B50" i="4"/>
  <c r="J119" i="45"/>
  <c r="D121" i="43"/>
  <c r="G120" i="43"/>
  <c r="E121" i="43"/>
  <c r="G124" i="31"/>
  <c r="D125" i="31"/>
  <c r="E125" i="31"/>
  <c r="F47" i="23"/>
  <c r="H47" i="23"/>
  <c r="G47" i="23"/>
  <c r="B47" i="23"/>
  <c r="F50" i="8"/>
  <c r="H50" i="8"/>
  <c r="G50" i="8"/>
  <c r="B50" i="8"/>
  <c r="D121" i="45"/>
  <c r="E121" i="45" s="1"/>
  <c r="G120" i="45"/>
  <c r="H121" i="42"/>
  <c r="I121" i="42"/>
  <c r="F42" i="44"/>
  <c r="B42" i="44"/>
  <c r="H42" i="44"/>
  <c r="I52" i="7"/>
  <c r="B50" i="5"/>
  <c r="F50" i="5"/>
  <c r="B42" i="13"/>
  <c r="F42" i="13"/>
  <c r="D46" i="29"/>
  <c r="E46" i="29"/>
  <c r="B121" i="39"/>
  <c r="F121" i="39"/>
  <c r="H41" i="37"/>
  <c r="I41" i="37" s="1"/>
  <c r="B41" i="37"/>
  <c r="F41" i="37"/>
  <c r="G41" i="37"/>
  <c r="B42" i="39"/>
  <c r="F42" i="39"/>
  <c r="H42" i="39" s="1"/>
  <c r="I42" i="39" s="1"/>
  <c r="G42" i="39"/>
  <c r="F50" i="3"/>
  <c r="B50" i="3"/>
  <c r="H50" i="3"/>
  <c r="I50" i="3" s="1"/>
  <c r="G50" i="3"/>
  <c r="B122" i="42"/>
  <c r="B48" i="25"/>
  <c r="F48" i="25"/>
  <c r="G48" i="25" s="1"/>
  <c r="G41" i="41"/>
  <c r="B41" i="41"/>
  <c r="H41" i="41"/>
  <c r="I41" i="41" s="1"/>
  <c r="F41" i="41"/>
  <c r="F46" i="27"/>
  <c r="G46" i="27"/>
  <c r="B46" i="27"/>
  <c r="H46" i="27"/>
  <c r="G45" i="29"/>
  <c r="I45" i="29" s="1"/>
  <c r="B43" i="30"/>
  <c r="H43" i="30"/>
  <c r="I43" i="30" s="1"/>
  <c r="F43" i="30"/>
  <c r="G43" i="30"/>
  <c r="I49" i="8"/>
  <c r="F40" i="45"/>
  <c r="G40" i="45"/>
  <c r="B40" i="45"/>
  <c r="H40" i="45"/>
  <c r="I40" i="45" s="1"/>
  <c r="F41" i="43"/>
  <c r="H41" i="43" s="1"/>
  <c r="I41" i="43" s="1"/>
  <c r="B41" i="43"/>
  <c r="G41" i="43"/>
  <c r="J120" i="44"/>
  <c r="E122" i="42"/>
  <c r="F122" i="42" s="1"/>
  <c r="B46" i="24"/>
  <c r="F46" i="24"/>
  <c r="G46" i="24"/>
  <c r="H46" i="24"/>
  <c r="I46" i="24" s="1"/>
  <c r="H53" i="9"/>
  <c r="F53" i="9"/>
  <c r="G53" i="9"/>
  <c r="B53" i="9"/>
  <c r="F52" i="11"/>
  <c r="H52" i="11"/>
  <c r="G52" i="11"/>
  <c r="B52" i="11"/>
  <c r="D44" i="31"/>
  <c r="E44" i="31"/>
  <c r="H52" i="10"/>
  <c r="I52" i="10" s="1"/>
  <c r="B52" i="10"/>
  <c r="F52" i="10"/>
  <c r="G52" i="10"/>
  <c r="F48" i="22"/>
  <c r="G48" i="22"/>
  <c r="B48" i="22"/>
  <c r="H48" i="22"/>
  <c r="G120" i="41"/>
  <c r="D121" i="41"/>
  <c r="E121" i="41"/>
  <c r="H120" i="39"/>
  <c r="I120" i="39"/>
  <c r="D52" i="6"/>
  <c r="E52" i="6"/>
  <c r="B41" i="38"/>
  <c r="F41" i="38"/>
  <c r="B44" i="28"/>
  <c r="F44" i="28"/>
  <c r="G44" i="28" s="1"/>
  <c r="G121" i="44"/>
  <c r="D122" i="44"/>
  <c r="J119" i="43"/>
  <c r="F40" i="42"/>
  <c r="B40" i="42"/>
  <c r="H124" i="27" l="1"/>
  <c r="I124" i="27"/>
  <c r="J124" i="27" s="1"/>
  <c r="B130" i="6"/>
  <c r="F130" i="6"/>
  <c r="I127" i="22"/>
  <c r="H127" i="22"/>
  <c r="I127" i="25"/>
  <c r="H127" i="25"/>
  <c r="B131" i="9"/>
  <c r="F131" i="9"/>
  <c r="I123" i="28"/>
  <c r="H123" i="28"/>
  <c r="F129" i="4"/>
  <c r="B129" i="4"/>
  <c r="I125" i="24"/>
  <c r="H125" i="24"/>
  <c r="F129" i="3"/>
  <c r="B129" i="3"/>
  <c r="F127" i="23"/>
  <c r="B127" i="23"/>
  <c r="H130" i="11"/>
  <c r="I130" i="11"/>
  <c r="J130" i="11" s="1"/>
  <c r="J155" i="11" s="1"/>
  <c r="F121" i="40"/>
  <c r="B121" i="40"/>
  <c r="H131" i="7"/>
  <c r="I131" i="7"/>
  <c r="J131" i="7" s="1"/>
  <c r="H131" i="10"/>
  <c r="I131" i="10"/>
  <c r="J131" i="10" s="1"/>
  <c r="F130" i="8"/>
  <c r="B130" i="8"/>
  <c r="B124" i="28"/>
  <c r="F124" i="28"/>
  <c r="H120" i="37"/>
  <c r="I120" i="37"/>
  <c r="J120" i="37" s="1"/>
  <c r="H128" i="4"/>
  <c r="I128" i="4"/>
  <c r="J128" i="4" s="1"/>
  <c r="D122" i="38"/>
  <c r="E122" i="38"/>
  <c r="G121" i="38"/>
  <c r="H126" i="23"/>
  <c r="I126" i="23"/>
  <c r="B131" i="11"/>
  <c r="F131" i="11"/>
  <c r="B125" i="27"/>
  <c r="F125" i="27"/>
  <c r="H129" i="6"/>
  <c r="I129" i="6"/>
  <c r="F128" i="22"/>
  <c r="B128" i="22"/>
  <c r="F128" i="25"/>
  <c r="B128" i="25"/>
  <c r="H128" i="5"/>
  <c r="I128" i="5"/>
  <c r="I130" i="9"/>
  <c r="J130" i="9" s="1"/>
  <c r="J155" i="9" s="1"/>
  <c r="H130" i="9"/>
  <c r="F123" i="30"/>
  <c r="B123" i="30"/>
  <c r="H120" i="40"/>
  <c r="I120" i="40"/>
  <c r="F132" i="7"/>
  <c r="B132" i="7"/>
  <c r="F132" i="10"/>
  <c r="B132" i="10"/>
  <c r="H129" i="8"/>
  <c r="I129" i="8"/>
  <c r="B129" i="5"/>
  <c r="F129" i="5"/>
  <c r="I122" i="30"/>
  <c r="J122" i="30" s="1"/>
  <c r="H122" i="30"/>
  <c r="F121" i="37"/>
  <c r="B121" i="37"/>
  <c r="B126" i="24"/>
  <c r="F126" i="24"/>
  <c r="H128" i="3"/>
  <c r="I128" i="3"/>
  <c r="E126" i="29"/>
  <c r="G125" i="29"/>
  <c r="D126" i="29"/>
  <c r="J121" i="42"/>
  <c r="D123" i="42"/>
  <c r="E123" i="42" s="1"/>
  <c r="G122" i="42"/>
  <c r="E43" i="13"/>
  <c r="D43" i="13"/>
  <c r="H120" i="41"/>
  <c r="I120" i="41"/>
  <c r="I52" i="11"/>
  <c r="G121" i="39"/>
  <c r="D122" i="39"/>
  <c r="E122" i="39"/>
  <c r="I50" i="8"/>
  <c r="D51" i="4"/>
  <c r="E51" i="4"/>
  <c r="I41" i="40"/>
  <c r="D42" i="38"/>
  <c r="E42" i="38"/>
  <c r="B122" i="44"/>
  <c r="H41" i="38"/>
  <c r="I48" i="22"/>
  <c r="D53" i="11"/>
  <c r="E53" i="11"/>
  <c r="D47" i="24"/>
  <c r="E47" i="24"/>
  <c r="H42" i="13"/>
  <c r="D51" i="8"/>
  <c r="E51" i="8"/>
  <c r="F121" i="41"/>
  <c r="B121" i="41"/>
  <c r="E122" i="44"/>
  <c r="F122" i="44" s="1"/>
  <c r="E42" i="43"/>
  <c r="D42" i="43"/>
  <c r="I46" i="27"/>
  <c r="H48" i="25"/>
  <c r="I48" i="25" s="1"/>
  <c r="D43" i="39"/>
  <c r="E43" i="39"/>
  <c r="G42" i="13"/>
  <c r="H120" i="43"/>
  <c r="I120" i="43"/>
  <c r="J120" i="43" s="1"/>
  <c r="D42" i="40"/>
  <c r="E42" i="40"/>
  <c r="H121" i="44"/>
  <c r="I121" i="44"/>
  <c r="J121" i="44" s="1"/>
  <c r="D45" i="28"/>
  <c r="E45" i="28"/>
  <c r="B52" i="6"/>
  <c r="F52" i="6"/>
  <c r="G52" i="6"/>
  <c r="H52" i="6"/>
  <c r="D54" i="9"/>
  <c r="E54" i="9"/>
  <c r="F46" i="29"/>
  <c r="H46" i="29" s="1"/>
  <c r="I46" i="29" s="1"/>
  <c r="G46" i="29"/>
  <c r="B46" i="29"/>
  <c r="I120" i="45"/>
  <c r="H120" i="45"/>
  <c r="B125" i="31"/>
  <c r="F125" i="31"/>
  <c r="B121" i="43"/>
  <c r="F121" i="43"/>
  <c r="H44" i="28"/>
  <c r="I44" i="28" s="1"/>
  <c r="D49" i="22"/>
  <c r="E49" i="22"/>
  <c r="I53" i="9"/>
  <c r="D49" i="25"/>
  <c r="E49" i="25"/>
  <c r="D51" i="5"/>
  <c r="E51" i="5"/>
  <c r="B121" i="45"/>
  <c r="F121" i="45"/>
  <c r="I47" i="23"/>
  <c r="H124" i="31"/>
  <c r="I124" i="31"/>
  <c r="B123" i="13"/>
  <c r="D41" i="42"/>
  <c r="E41" i="42"/>
  <c r="I50" i="4"/>
  <c r="G40" i="42"/>
  <c r="B44" i="31"/>
  <c r="F44" i="31"/>
  <c r="G44" i="31"/>
  <c r="D47" i="27"/>
  <c r="E47" i="27"/>
  <c r="D51" i="3"/>
  <c r="E51" i="3"/>
  <c r="D42" i="37"/>
  <c r="E42" i="37"/>
  <c r="H50" i="5"/>
  <c r="E43" i="44"/>
  <c r="D43" i="44"/>
  <c r="D48" i="23"/>
  <c r="E48" i="23"/>
  <c r="D54" i="7"/>
  <c r="E54" i="7"/>
  <c r="E123" i="13"/>
  <c r="F123" i="13" s="1"/>
  <c r="H40" i="42"/>
  <c r="G41" i="38"/>
  <c r="J120" i="39"/>
  <c r="D53" i="10"/>
  <c r="E53" i="10"/>
  <c r="E41" i="45"/>
  <c r="D41" i="45"/>
  <c r="D44" i="30"/>
  <c r="E44" i="30"/>
  <c r="D42" i="41"/>
  <c r="E42" i="41"/>
  <c r="G50" i="5"/>
  <c r="G42" i="44"/>
  <c r="I42" i="44" s="1"/>
  <c r="G50" i="4"/>
  <c r="G53" i="7"/>
  <c r="I53" i="7" s="1"/>
  <c r="H122" i="13"/>
  <c r="I122" i="13"/>
  <c r="G123" i="30" l="1"/>
  <c r="D124" i="30"/>
  <c r="E124" i="30"/>
  <c r="E125" i="28"/>
  <c r="G124" i="28"/>
  <c r="D125" i="28"/>
  <c r="E131" i="6"/>
  <c r="G130" i="6"/>
  <c r="D131" i="6"/>
  <c r="J128" i="3"/>
  <c r="E130" i="5"/>
  <c r="D130" i="5"/>
  <c r="G129" i="5"/>
  <c r="J120" i="40"/>
  <c r="J129" i="6"/>
  <c r="E132" i="11"/>
  <c r="G131" i="11"/>
  <c r="D132" i="11"/>
  <c r="I121" i="38"/>
  <c r="H121" i="38"/>
  <c r="D122" i="40"/>
  <c r="G121" i="40"/>
  <c r="E122" i="40"/>
  <c r="G127" i="23"/>
  <c r="D128" i="23"/>
  <c r="E128" i="23"/>
  <c r="J125" i="24"/>
  <c r="J123" i="28"/>
  <c r="J127" i="25"/>
  <c r="E133" i="7"/>
  <c r="D133" i="7"/>
  <c r="G132" i="7"/>
  <c r="G128" i="22"/>
  <c r="E129" i="22"/>
  <c r="D129" i="22"/>
  <c r="G121" i="37"/>
  <c r="E122" i="37"/>
  <c r="D122" i="37"/>
  <c r="E133" i="10"/>
  <c r="G132" i="10"/>
  <c r="D133" i="10"/>
  <c r="D129" i="25"/>
  <c r="G128" i="25"/>
  <c r="E129" i="25"/>
  <c r="G131" i="9"/>
  <c r="D132" i="9"/>
  <c r="E132" i="9"/>
  <c r="G126" i="24"/>
  <c r="D127" i="24"/>
  <c r="E127" i="24"/>
  <c r="J129" i="8"/>
  <c r="J128" i="5"/>
  <c r="E126" i="27"/>
  <c r="G125" i="27"/>
  <c r="D126" i="27"/>
  <c r="J126" i="23"/>
  <c r="B122" i="38"/>
  <c r="F122" i="38"/>
  <c r="D131" i="8"/>
  <c r="E131" i="8"/>
  <c r="G130" i="8"/>
  <c r="E130" i="3"/>
  <c r="G129" i="3"/>
  <c r="D130" i="3"/>
  <c r="D130" i="4"/>
  <c r="G129" i="4"/>
  <c r="E130" i="4"/>
  <c r="J127" i="22"/>
  <c r="J120" i="45"/>
  <c r="F126" i="29"/>
  <c r="B126" i="29"/>
  <c r="H125" i="29"/>
  <c r="I125" i="29"/>
  <c r="J125" i="29" s="1"/>
  <c r="G122" i="44"/>
  <c r="D123" i="44"/>
  <c r="G121" i="41"/>
  <c r="D122" i="41"/>
  <c r="E122" i="41"/>
  <c r="F53" i="10"/>
  <c r="G53" i="10"/>
  <c r="B53" i="10"/>
  <c r="G121" i="45"/>
  <c r="D122" i="45"/>
  <c r="E122" i="45" s="1"/>
  <c r="E53" i="6"/>
  <c r="D53" i="6"/>
  <c r="B53" i="11"/>
  <c r="F53" i="11"/>
  <c r="H53" i="11"/>
  <c r="J120" i="41"/>
  <c r="H41" i="42"/>
  <c r="F41" i="42"/>
  <c r="B41" i="42"/>
  <c r="E126" i="31"/>
  <c r="D126" i="31"/>
  <c r="G125" i="31"/>
  <c r="D47" i="29"/>
  <c r="E47" i="29"/>
  <c r="B42" i="40"/>
  <c r="F42" i="40"/>
  <c r="B49" i="22"/>
  <c r="H49" i="22"/>
  <c r="F49" i="22"/>
  <c r="G49" i="22" s="1"/>
  <c r="D124" i="13"/>
  <c r="G123" i="13"/>
  <c r="B49" i="25"/>
  <c r="F49" i="25"/>
  <c r="G49" i="25" s="1"/>
  <c r="B51" i="8"/>
  <c r="F51" i="8"/>
  <c r="H51" i="8" s="1"/>
  <c r="I51" i="8" s="1"/>
  <c r="G51" i="8"/>
  <c r="F42" i="38"/>
  <c r="G42" i="38"/>
  <c r="B42" i="38"/>
  <c r="F42" i="41"/>
  <c r="G42" i="41" s="1"/>
  <c r="B42" i="41"/>
  <c r="G121" i="43"/>
  <c r="D122" i="43"/>
  <c r="E122" i="43"/>
  <c r="B44" i="30"/>
  <c r="G44" i="30"/>
  <c r="H44" i="30"/>
  <c r="I44" i="30" s="1"/>
  <c r="F44" i="30"/>
  <c r="B42" i="37"/>
  <c r="F42" i="37"/>
  <c r="D45" i="31"/>
  <c r="E45" i="31"/>
  <c r="H45" i="28"/>
  <c r="G45" i="28"/>
  <c r="F45" i="28"/>
  <c r="B45" i="28"/>
  <c r="F42" i="43"/>
  <c r="B42" i="43"/>
  <c r="B122" i="39"/>
  <c r="F122" i="39"/>
  <c r="G48" i="23"/>
  <c r="B48" i="23"/>
  <c r="F48" i="23"/>
  <c r="F51" i="3"/>
  <c r="G51" i="3" s="1"/>
  <c r="B51" i="3"/>
  <c r="I42" i="13"/>
  <c r="I41" i="38"/>
  <c r="I121" i="39"/>
  <c r="H121" i="39"/>
  <c r="H122" i="42"/>
  <c r="I122" i="42"/>
  <c r="B54" i="7"/>
  <c r="F54" i="7"/>
  <c r="G54" i="7" s="1"/>
  <c r="H54" i="7"/>
  <c r="F41" i="45"/>
  <c r="H41" i="45" s="1"/>
  <c r="I41" i="45" s="1"/>
  <c r="G41" i="45"/>
  <c r="B41" i="45"/>
  <c r="F43" i="44"/>
  <c r="G43" i="44" s="1"/>
  <c r="B43" i="44"/>
  <c r="J122" i="13"/>
  <c r="I40" i="42"/>
  <c r="H44" i="31"/>
  <c r="I44" i="31" s="1"/>
  <c r="J124" i="31"/>
  <c r="B54" i="9"/>
  <c r="F54" i="9"/>
  <c r="B51" i="4"/>
  <c r="F51" i="4"/>
  <c r="B43" i="13"/>
  <c r="F43" i="13"/>
  <c r="G43" i="13" s="1"/>
  <c r="F47" i="27"/>
  <c r="G47" i="27" s="1"/>
  <c r="B47" i="27"/>
  <c r="F51" i="5"/>
  <c r="H51" i="5"/>
  <c r="B51" i="5"/>
  <c r="I52" i="6"/>
  <c r="B43" i="39"/>
  <c r="F43" i="39"/>
  <c r="G43" i="39" s="1"/>
  <c r="B47" i="24"/>
  <c r="F47" i="24"/>
  <c r="H47" i="24" s="1"/>
  <c r="F123" i="42"/>
  <c r="B123" i="42"/>
  <c r="H126" i="24" l="1"/>
  <c r="I126" i="24"/>
  <c r="J126" i="24" s="1"/>
  <c r="H132" i="10"/>
  <c r="I132" i="10"/>
  <c r="J132" i="10" s="1"/>
  <c r="I121" i="37"/>
  <c r="H121" i="37"/>
  <c r="H132" i="7"/>
  <c r="I132" i="7"/>
  <c r="J132" i="7" s="1"/>
  <c r="H127" i="23"/>
  <c r="I127" i="23"/>
  <c r="I130" i="6"/>
  <c r="H130" i="6"/>
  <c r="J121" i="39"/>
  <c r="I129" i="3"/>
  <c r="H129" i="3"/>
  <c r="B131" i="8"/>
  <c r="F131" i="8"/>
  <c r="B126" i="27"/>
  <c r="F126" i="27"/>
  <c r="I128" i="25"/>
  <c r="J128" i="25" s="1"/>
  <c r="H128" i="25"/>
  <c r="B129" i="22"/>
  <c r="F129" i="22"/>
  <c r="F133" i="7"/>
  <c r="B133" i="7"/>
  <c r="J121" i="38"/>
  <c r="F130" i="5"/>
  <c r="B130" i="5"/>
  <c r="I129" i="4"/>
  <c r="H129" i="4"/>
  <c r="D123" i="38"/>
  <c r="E123" i="38"/>
  <c r="G122" i="38"/>
  <c r="I125" i="27"/>
  <c r="H125" i="27"/>
  <c r="F132" i="9"/>
  <c r="B132" i="9"/>
  <c r="B129" i="25"/>
  <c r="F129" i="25"/>
  <c r="F122" i="37"/>
  <c r="B122" i="37"/>
  <c r="I121" i="40"/>
  <c r="H121" i="40"/>
  <c r="F132" i="11"/>
  <c r="B132" i="11"/>
  <c r="B125" i="28"/>
  <c r="F125" i="28"/>
  <c r="F124" i="30"/>
  <c r="B124" i="30"/>
  <c r="F130" i="3"/>
  <c r="B130" i="3"/>
  <c r="B130" i="4"/>
  <c r="F130" i="4"/>
  <c r="I130" i="8"/>
  <c r="H130" i="8"/>
  <c r="B127" i="24"/>
  <c r="F127" i="24"/>
  <c r="H131" i="9"/>
  <c r="I131" i="9"/>
  <c r="B133" i="10"/>
  <c r="F133" i="10"/>
  <c r="I128" i="22"/>
  <c r="H128" i="22"/>
  <c r="B128" i="23"/>
  <c r="F128" i="23"/>
  <c r="F122" i="40"/>
  <c r="B122" i="40"/>
  <c r="I131" i="11"/>
  <c r="H131" i="11"/>
  <c r="I129" i="5"/>
  <c r="H129" i="5"/>
  <c r="B131" i="6"/>
  <c r="F131" i="6"/>
  <c r="I124" i="28"/>
  <c r="H124" i="28"/>
  <c r="I123" i="30"/>
  <c r="J123" i="30" s="1"/>
  <c r="H123" i="30"/>
  <c r="J122" i="42"/>
  <c r="D127" i="29"/>
  <c r="G126" i="29"/>
  <c r="E127" i="29"/>
  <c r="E52" i="5"/>
  <c r="D52" i="5"/>
  <c r="I45" i="28"/>
  <c r="D45" i="30"/>
  <c r="E45" i="30"/>
  <c r="D43" i="38"/>
  <c r="E43" i="38"/>
  <c r="B124" i="13"/>
  <c r="D42" i="42"/>
  <c r="E42" i="42"/>
  <c r="D54" i="10"/>
  <c r="E54" i="10"/>
  <c r="I49" i="22"/>
  <c r="E52" i="4"/>
  <c r="D52" i="4"/>
  <c r="D42" i="45"/>
  <c r="E42" i="45"/>
  <c r="I54" i="7"/>
  <c r="D52" i="3"/>
  <c r="E52" i="3"/>
  <c r="D43" i="37"/>
  <c r="E43" i="37"/>
  <c r="D43" i="41"/>
  <c r="E43" i="41"/>
  <c r="D50" i="25"/>
  <c r="E50" i="25"/>
  <c r="B122" i="45"/>
  <c r="F122" i="45"/>
  <c r="E55" i="7"/>
  <c r="D55" i="7"/>
  <c r="E43" i="43"/>
  <c r="D43" i="43"/>
  <c r="H42" i="37"/>
  <c r="H42" i="41"/>
  <c r="I42" i="41" s="1"/>
  <c r="F47" i="29"/>
  <c r="H47" i="29"/>
  <c r="I47" i="29" s="1"/>
  <c r="G47" i="29"/>
  <c r="B47" i="29"/>
  <c r="E54" i="11"/>
  <c r="D54" i="11"/>
  <c r="I121" i="45"/>
  <c r="H121" i="45"/>
  <c r="F122" i="41"/>
  <c r="B122" i="41"/>
  <c r="D44" i="39"/>
  <c r="E44" i="39"/>
  <c r="H43" i="13"/>
  <c r="I43" i="13" s="1"/>
  <c r="H51" i="4"/>
  <c r="I51" i="4" s="1"/>
  <c r="D124" i="42"/>
  <c r="E124" i="42" s="1"/>
  <c r="G123" i="42"/>
  <c r="H43" i="39"/>
  <c r="I43" i="39" s="1"/>
  <c r="H47" i="27"/>
  <c r="I47" i="27" s="1"/>
  <c r="H42" i="43"/>
  <c r="I42" i="43" s="1"/>
  <c r="H49" i="25"/>
  <c r="I49" i="25" s="1"/>
  <c r="I125" i="31"/>
  <c r="H125" i="31"/>
  <c r="H121" i="41"/>
  <c r="I121" i="41"/>
  <c r="D55" i="9"/>
  <c r="E55" i="9"/>
  <c r="H123" i="13"/>
  <c r="I123" i="13"/>
  <c r="D49" i="23"/>
  <c r="E49" i="23"/>
  <c r="G42" i="43"/>
  <c r="G42" i="37"/>
  <c r="F126" i="31"/>
  <c r="B126" i="31"/>
  <c r="G53" i="11"/>
  <c r="I53" i="11" s="1"/>
  <c r="B123" i="44"/>
  <c r="E43" i="40"/>
  <c r="D43" i="40"/>
  <c r="G47" i="24"/>
  <c r="I47" i="24" s="1"/>
  <c r="D44" i="13"/>
  <c r="E44" i="13"/>
  <c r="G51" i="4"/>
  <c r="E44" i="44"/>
  <c r="D44" i="44"/>
  <c r="H54" i="9"/>
  <c r="I54" i="9" s="1"/>
  <c r="H43" i="44"/>
  <c r="I43" i="44" s="1"/>
  <c r="G122" i="39"/>
  <c r="D123" i="39"/>
  <c r="E123" i="39"/>
  <c r="B45" i="31"/>
  <c r="G45" i="31"/>
  <c r="F45" i="31"/>
  <c r="H45" i="31" s="1"/>
  <c r="I45" i="31" s="1"/>
  <c r="B122" i="43"/>
  <c r="F122" i="43"/>
  <c r="H42" i="38"/>
  <c r="I42" i="38" s="1"/>
  <c r="H42" i="40"/>
  <c r="I122" i="44"/>
  <c r="H122" i="44"/>
  <c r="D48" i="24"/>
  <c r="E48" i="24"/>
  <c r="G51" i="5"/>
  <c r="D48" i="27"/>
  <c r="E48" i="27"/>
  <c r="G54" i="9"/>
  <c r="H51" i="3"/>
  <c r="I51" i="3" s="1"/>
  <c r="H48" i="23"/>
  <c r="I48" i="23" s="1"/>
  <c r="D46" i="28"/>
  <c r="E46" i="28"/>
  <c r="H121" i="43"/>
  <c r="I121" i="43"/>
  <c r="D52" i="8"/>
  <c r="E52" i="8"/>
  <c r="E124" i="13"/>
  <c r="F124" i="13" s="1"/>
  <c r="D50" i="22"/>
  <c r="E50" i="22"/>
  <c r="G42" i="40"/>
  <c r="G41" i="42"/>
  <c r="I41" i="42" s="1"/>
  <c r="H53" i="6"/>
  <c r="F53" i="6"/>
  <c r="B53" i="6"/>
  <c r="H53" i="10"/>
  <c r="I53" i="10" s="1"/>
  <c r="E123" i="44"/>
  <c r="F123" i="44" s="1"/>
  <c r="G132" i="11" l="1"/>
  <c r="E133" i="11"/>
  <c r="D133" i="11"/>
  <c r="D133" i="9"/>
  <c r="E133" i="9"/>
  <c r="G132" i="9"/>
  <c r="D134" i="7"/>
  <c r="E134" i="7"/>
  <c r="G133" i="7"/>
  <c r="J125" i="31"/>
  <c r="G125" i="28"/>
  <c r="D126" i="28"/>
  <c r="E126" i="28"/>
  <c r="G129" i="25"/>
  <c r="E130" i="25"/>
  <c r="D130" i="25"/>
  <c r="B123" i="38"/>
  <c r="F123" i="38"/>
  <c r="D131" i="5"/>
  <c r="E131" i="5"/>
  <c r="G130" i="5"/>
  <c r="E130" i="22"/>
  <c r="D130" i="22"/>
  <c r="G129" i="22"/>
  <c r="D127" i="27"/>
  <c r="E127" i="27"/>
  <c r="G126" i="27"/>
  <c r="J130" i="6"/>
  <c r="G124" i="30"/>
  <c r="D125" i="30"/>
  <c r="E125" i="30"/>
  <c r="G122" i="37"/>
  <c r="D123" i="37"/>
  <c r="E123" i="37"/>
  <c r="J124" i="28"/>
  <c r="J129" i="5"/>
  <c r="G122" i="40"/>
  <c r="D123" i="40"/>
  <c r="E123" i="40"/>
  <c r="J128" i="22"/>
  <c r="J130" i="8"/>
  <c r="E131" i="3"/>
  <c r="G130" i="3"/>
  <c r="D131" i="3"/>
  <c r="J121" i="40"/>
  <c r="J125" i="27"/>
  <c r="J129" i="3"/>
  <c r="J127" i="23"/>
  <c r="E132" i="6"/>
  <c r="D132" i="6"/>
  <c r="G131" i="6"/>
  <c r="D129" i="23"/>
  <c r="E129" i="23"/>
  <c r="G128" i="23"/>
  <c r="D134" i="10"/>
  <c r="G133" i="10"/>
  <c r="E134" i="10"/>
  <c r="E128" i="24"/>
  <c r="G127" i="24"/>
  <c r="D128" i="24"/>
  <c r="D131" i="4"/>
  <c r="E131" i="4"/>
  <c r="G130" i="4"/>
  <c r="H122" i="38"/>
  <c r="I122" i="38"/>
  <c r="J129" i="4"/>
  <c r="G131" i="8"/>
  <c r="E132" i="8"/>
  <c r="D132" i="8"/>
  <c r="J121" i="37"/>
  <c r="J122" i="44"/>
  <c r="J121" i="43"/>
  <c r="H126" i="29"/>
  <c r="I126" i="29"/>
  <c r="F127" i="29"/>
  <c r="B127" i="29"/>
  <c r="G124" i="13"/>
  <c r="D125" i="13"/>
  <c r="G123" i="44"/>
  <c r="D124" i="44"/>
  <c r="F49" i="23"/>
  <c r="H49" i="23" s="1"/>
  <c r="I49" i="23" s="1"/>
  <c r="B49" i="23"/>
  <c r="G49" i="23"/>
  <c r="F55" i="9"/>
  <c r="H55" i="9"/>
  <c r="B55" i="9"/>
  <c r="H43" i="43"/>
  <c r="G43" i="43"/>
  <c r="F43" i="43"/>
  <c r="B43" i="43"/>
  <c r="B43" i="37"/>
  <c r="F43" i="37"/>
  <c r="G43" i="37" s="1"/>
  <c r="F52" i="5"/>
  <c r="G52" i="5"/>
  <c r="B52" i="5"/>
  <c r="H52" i="5"/>
  <c r="H42" i="42"/>
  <c r="F42" i="42"/>
  <c r="G42" i="42" s="1"/>
  <c r="B42" i="42"/>
  <c r="B48" i="27"/>
  <c r="H48" i="27"/>
  <c r="F48" i="27"/>
  <c r="H44" i="44"/>
  <c r="I44" i="44" s="1"/>
  <c r="B44" i="44"/>
  <c r="F44" i="44"/>
  <c r="G44" i="44"/>
  <c r="J121" i="41"/>
  <c r="B44" i="39"/>
  <c r="F44" i="39"/>
  <c r="H44" i="39"/>
  <c r="F43" i="40"/>
  <c r="B43" i="40"/>
  <c r="H43" i="40"/>
  <c r="F50" i="22"/>
  <c r="B50" i="22"/>
  <c r="F52" i="8"/>
  <c r="H52" i="8"/>
  <c r="B52" i="8"/>
  <c r="G52" i="8"/>
  <c r="I42" i="40"/>
  <c r="B54" i="10"/>
  <c r="F54" i="10"/>
  <c r="G54" i="10"/>
  <c r="B123" i="39"/>
  <c r="F123" i="39"/>
  <c r="G122" i="41"/>
  <c r="D123" i="41"/>
  <c r="E123" i="41"/>
  <c r="D48" i="29"/>
  <c r="E48" i="29"/>
  <c r="G52" i="3"/>
  <c r="F52" i="3"/>
  <c r="H52" i="3" s="1"/>
  <c r="I52" i="3" s="1"/>
  <c r="B52" i="3"/>
  <c r="F48" i="24"/>
  <c r="B48" i="24"/>
  <c r="G122" i="43"/>
  <c r="D123" i="43"/>
  <c r="E123" i="43"/>
  <c r="I122" i="39"/>
  <c r="H122" i="39"/>
  <c r="I123" i="42"/>
  <c r="J123" i="42" s="1"/>
  <c r="H123" i="42"/>
  <c r="I42" i="37"/>
  <c r="H55" i="7"/>
  <c r="F55" i="7"/>
  <c r="B55" i="7"/>
  <c r="G55" i="7"/>
  <c r="G122" i="45"/>
  <c r="D123" i="45"/>
  <c r="F50" i="25"/>
  <c r="G50" i="25"/>
  <c r="B50" i="25"/>
  <c r="H50" i="25"/>
  <c r="I50" i="25" s="1"/>
  <c r="G43" i="38"/>
  <c r="B43" i="38"/>
  <c r="F43" i="38"/>
  <c r="H43" i="38"/>
  <c r="B46" i="28"/>
  <c r="F46" i="28"/>
  <c r="E127" i="31"/>
  <c r="G126" i="31"/>
  <c r="D127" i="31"/>
  <c r="D54" i="6"/>
  <c r="E54" i="6"/>
  <c r="G53" i="6"/>
  <c r="H44" i="13"/>
  <c r="B44" i="13"/>
  <c r="F44" i="13"/>
  <c r="J123" i="13"/>
  <c r="F124" i="42"/>
  <c r="B124" i="42"/>
  <c r="J121" i="45"/>
  <c r="B42" i="45"/>
  <c r="F42" i="45"/>
  <c r="G42" i="45" s="1"/>
  <c r="H42" i="45"/>
  <c r="I53" i="6"/>
  <c r="D46" i="31"/>
  <c r="E46" i="31"/>
  <c r="B54" i="11"/>
  <c r="F54" i="11"/>
  <c r="G54" i="11"/>
  <c r="H54" i="11"/>
  <c r="I54" i="11" s="1"/>
  <c r="H43" i="41"/>
  <c r="I43" i="41" s="1"/>
  <c r="F43" i="41"/>
  <c r="G43" i="41"/>
  <c r="B43" i="41"/>
  <c r="B52" i="4"/>
  <c r="F52" i="4"/>
  <c r="G52" i="4" s="1"/>
  <c r="H52" i="4"/>
  <c r="B45" i="30"/>
  <c r="F45" i="30"/>
  <c r="H45" i="30"/>
  <c r="I45" i="30" s="1"/>
  <c r="G45" i="30"/>
  <c r="B129" i="23" l="1"/>
  <c r="F129" i="23"/>
  <c r="F133" i="9"/>
  <c r="B133" i="9"/>
  <c r="H131" i="8"/>
  <c r="I131" i="8"/>
  <c r="H130" i="4"/>
  <c r="I130" i="4"/>
  <c r="J130" i="4" s="1"/>
  <c r="H127" i="24"/>
  <c r="I127" i="24"/>
  <c r="F134" i="10"/>
  <c r="B134" i="10"/>
  <c r="I131" i="6"/>
  <c r="J131" i="6" s="1"/>
  <c r="H131" i="6"/>
  <c r="I130" i="3"/>
  <c r="H130" i="3"/>
  <c r="I126" i="27"/>
  <c r="J126" i="27" s="1"/>
  <c r="H126" i="27"/>
  <c r="F130" i="22"/>
  <c r="B130" i="22"/>
  <c r="F131" i="5"/>
  <c r="B131" i="5"/>
  <c r="I125" i="28"/>
  <c r="H125" i="28"/>
  <c r="B134" i="7"/>
  <c r="F134" i="7"/>
  <c r="B133" i="11"/>
  <c r="F133" i="11"/>
  <c r="F128" i="24"/>
  <c r="B128" i="24"/>
  <c r="B131" i="3"/>
  <c r="F131" i="3"/>
  <c r="I122" i="37"/>
  <c r="J122" i="37" s="1"/>
  <c r="H122" i="37"/>
  <c r="I129" i="22"/>
  <c r="H129" i="22"/>
  <c r="F130" i="25"/>
  <c r="B130" i="25"/>
  <c r="J126" i="29"/>
  <c r="H128" i="23"/>
  <c r="I128" i="23"/>
  <c r="B132" i="6"/>
  <c r="F132" i="6"/>
  <c r="B123" i="40"/>
  <c r="F123" i="40"/>
  <c r="F125" i="30"/>
  <c r="B125" i="30"/>
  <c r="G123" i="38"/>
  <c r="E124" i="38"/>
  <c r="D124" i="38"/>
  <c r="I129" i="25"/>
  <c r="H129" i="25"/>
  <c r="H132" i="9"/>
  <c r="I132" i="9"/>
  <c r="H133" i="10"/>
  <c r="I133" i="10"/>
  <c r="J133" i="10" s="1"/>
  <c r="F126" i="28"/>
  <c r="B126" i="28"/>
  <c r="F132" i="8"/>
  <c r="B132" i="8"/>
  <c r="J122" i="38"/>
  <c r="F131" i="4"/>
  <c r="B131" i="4"/>
  <c r="I122" i="40"/>
  <c r="J122" i="40" s="1"/>
  <c r="H122" i="40"/>
  <c r="B123" i="37"/>
  <c r="F123" i="37"/>
  <c r="I124" i="30"/>
  <c r="J124" i="30" s="1"/>
  <c r="H124" i="30"/>
  <c r="F127" i="27"/>
  <c r="B127" i="27"/>
  <c r="I130" i="5"/>
  <c r="J130" i="5" s="1"/>
  <c r="H130" i="5"/>
  <c r="I133" i="7"/>
  <c r="J133" i="7" s="1"/>
  <c r="H133" i="7"/>
  <c r="H132" i="11"/>
  <c r="I132" i="11"/>
  <c r="G127" i="29"/>
  <c r="D128" i="29"/>
  <c r="E128" i="29"/>
  <c r="J122" i="39"/>
  <c r="F54" i="6"/>
  <c r="G54" i="6" s="1"/>
  <c r="B54" i="6"/>
  <c r="I122" i="41"/>
  <c r="H122" i="41"/>
  <c r="H122" i="45"/>
  <c r="I122" i="45"/>
  <c r="J122" i="45" s="1"/>
  <c r="D49" i="24"/>
  <c r="E49" i="24"/>
  <c r="D45" i="39"/>
  <c r="E45" i="39"/>
  <c r="D49" i="27"/>
  <c r="E49" i="27"/>
  <c r="I43" i="43"/>
  <c r="D56" i="9"/>
  <c r="E56" i="9"/>
  <c r="I42" i="45"/>
  <c r="B124" i="44"/>
  <c r="B123" i="45"/>
  <c r="I42" i="42"/>
  <c r="F127" i="31"/>
  <c r="B127" i="31"/>
  <c r="E55" i="10"/>
  <c r="D55" i="10"/>
  <c r="I52" i="8"/>
  <c r="E44" i="40"/>
  <c r="D44" i="40"/>
  <c r="E124" i="44"/>
  <c r="F124" i="44" s="1"/>
  <c r="D125" i="42"/>
  <c r="G124" i="42"/>
  <c r="D55" i="11"/>
  <c r="E55" i="11"/>
  <c r="D45" i="13"/>
  <c r="I126" i="31"/>
  <c r="H126" i="31"/>
  <c r="E56" i="7"/>
  <c r="D56" i="7"/>
  <c r="F123" i="43"/>
  <c r="B123" i="43"/>
  <c r="E124" i="39"/>
  <c r="D124" i="39"/>
  <c r="G123" i="39"/>
  <c r="E53" i="8"/>
  <c r="D53" i="8"/>
  <c r="G43" i="40"/>
  <c r="I43" i="40" s="1"/>
  <c r="G48" i="27"/>
  <c r="I48" i="27" s="1"/>
  <c r="D53" i="5"/>
  <c r="E53" i="5"/>
  <c r="I123" i="44"/>
  <c r="H123" i="44"/>
  <c r="I52" i="4"/>
  <c r="E47" i="28"/>
  <c r="D47" i="28"/>
  <c r="E51" i="22"/>
  <c r="D51" i="22"/>
  <c r="D43" i="45"/>
  <c r="E43" i="45"/>
  <c r="I43" i="38"/>
  <c r="I55" i="7"/>
  <c r="H122" i="43"/>
  <c r="I122" i="43"/>
  <c r="H48" i="29"/>
  <c r="I48" i="29" s="1"/>
  <c r="B48" i="29"/>
  <c r="F48" i="29"/>
  <c r="G48" i="29"/>
  <c r="H54" i="10"/>
  <c r="I54" i="10" s="1"/>
  <c r="E50" i="23"/>
  <c r="D50" i="23"/>
  <c r="B125" i="13"/>
  <c r="D44" i="37"/>
  <c r="E44" i="37"/>
  <c r="D53" i="4"/>
  <c r="E53" i="4"/>
  <c r="D46" i="30"/>
  <c r="E46" i="30"/>
  <c r="D44" i="41"/>
  <c r="E44" i="41"/>
  <c r="G44" i="13"/>
  <c r="H46" i="28"/>
  <c r="I46" i="28" s="1"/>
  <c r="E44" i="38"/>
  <c r="D44" i="38"/>
  <c r="E51" i="25"/>
  <c r="D51" i="25"/>
  <c r="H48" i="24"/>
  <c r="I48" i="24" s="1"/>
  <c r="H50" i="22"/>
  <c r="D45" i="44"/>
  <c r="E45" i="44"/>
  <c r="G55" i="9"/>
  <c r="I55" i="9" s="1"/>
  <c r="E125" i="13"/>
  <c r="F125" i="13" s="1"/>
  <c r="I44" i="39"/>
  <c r="F46" i="31"/>
  <c r="H46" i="31"/>
  <c r="B46" i="31"/>
  <c r="I44" i="13"/>
  <c r="G46" i="28"/>
  <c r="E123" i="45"/>
  <c r="F123" i="45" s="1"/>
  <c r="G48" i="24"/>
  <c r="E53" i="3"/>
  <c r="D53" i="3"/>
  <c r="F123" i="41"/>
  <c r="B123" i="41"/>
  <c r="G50" i="22"/>
  <c r="G44" i="39"/>
  <c r="D43" i="42"/>
  <c r="E43" i="42"/>
  <c r="H43" i="37"/>
  <c r="I43" i="37" s="1"/>
  <c r="D44" i="43"/>
  <c r="E44" i="43"/>
  <c r="H124" i="13"/>
  <c r="I124" i="13"/>
  <c r="H123" i="38" l="1"/>
  <c r="I123" i="38"/>
  <c r="J123" i="38" s="1"/>
  <c r="E134" i="11"/>
  <c r="D134" i="11"/>
  <c r="G133" i="11"/>
  <c r="G123" i="37"/>
  <c r="E124" i="37"/>
  <c r="D124" i="37"/>
  <c r="G132" i="8"/>
  <c r="E133" i="8"/>
  <c r="D133" i="8"/>
  <c r="J129" i="25"/>
  <c r="D133" i="6"/>
  <c r="E133" i="6"/>
  <c r="G132" i="6"/>
  <c r="J129" i="22"/>
  <c r="J125" i="28"/>
  <c r="D131" i="22"/>
  <c r="G130" i="22"/>
  <c r="E131" i="22"/>
  <c r="J130" i="3"/>
  <c r="E135" i="10"/>
  <c r="D135" i="10"/>
  <c r="G134" i="10"/>
  <c r="G133" i="9"/>
  <c r="D134" i="9"/>
  <c r="E134" i="9"/>
  <c r="G131" i="3"/>
  <c r="D132" i="3"/>
  <c r="E132" i="3"/>
  <c r="E128" i="27"/>
  <c r="G127" i="27"/>
  <c r="D128" i="27"/>
  <c r="E132" i="4"/>
  <c r="G131" i="4"/>
  <c r="D132" i="4"/>
  <c r="F124" i="38"/>
  <c r="B124" i="38"/>
  <c r="E126" i="30"/>
  <c r="G125" i="30"/>
  <c r="D126" i="30"/>
  <c r="D135" i="7"/>
  <c r="G134" i="7"/>
  <c r="E135" i="7"/>
  <c r="J127" i="24"/>
  <c r="J131" i="8"/>
  <c r="E130" i="23"/>
  <c r="D130" i="23"/>
  <c r="G129" i="23"/>
  <c r="J122" i="43"/>
  <c r="D127" i="28"/>
  <c r="G126" i="28"/>
  <c r="E127" i="28"/>
  <c r="G123" i="40"/>
  <c r="D124" i="40"/>
  <c r="E124" i="40"/>
  <c r="J128" i="23"/>
  <c r="G130" i="25"/>
  <c r="E131" i="25"/>
  <c r="D131" i="25"/>
  <c r="E129" i="24"/>
  <c r="G128" i="24"/>
  <c r="D129" i="24"/>
  <c r="D132" i="5"/>
  <c r="G131" i="5"/>
  <c r="E132" i="5"/>
  <c r="J124" i="13"/>
  <c r="J123" i="44"/>
  <c r="F128" i="29"/>
  <c r="B128" i="29"/>
  <c r="H127" i="29"/>
  <c r="I127" i="29"/>
  <c r="G125" i="13"/>
  <c r="D126" i="13"/>
  <c r="E126" i="13" s="1"/>
  <c r="B53" i="4"/>
  <c r="F53" i="4"/>
  <c r="B53" i="8"/>
  <c r="F53" i="8"/>
  <c r="J126" i="31"/>
  <c r="J122" i="41"/>
  <c r="F55" i="11"/>
  <c r="G55" i="11" s="1"/>
  <c r="B55" i="11"/>
  <c r="F43" i="45"/>
  <c r="B43" i="45"/>
  <c r="G43" i="45"/>
  <c r="D124" i="43"/>
  <c r="G123" i="43"/>
  <c r="E124" i="43"/>
  <c r="B45" i="13"/>
  <c r="G124" i="44"/>
  <c r="D125" i="44"/>
  <c r="F49" i="27"/>
  <c r="G49" i="27"/>
  <c r="B49" i="27"/>
  <c r="H49" i="27"/>
  <c r="I49" i="27" s="1"/>
  <c r="B125" i="42"/>
  <c r="F53" i="3"/>
  <c r="G53" i="3"/>
  <c r="B53" i="3"/>
  <c r="B51" i="25"/>
  <c r="F51" i="25"/>
  <c r="B44" i="37"/>
  <c r="F44" i="37"/>
  <c r="H123" i="39"/>
  <c r="I123" i="39"/>
  <c r="J123" i="39" s="1"/>
  <c r="E45" i="13"/>
  <c r="F45" i="13" s="1"/>
  <c r="F44" i="40"/>
  <c r="H44" i="40" s="1"/>
  <c r="B44" i="40"/>
  <c r="D124" i="41"/>
  <c r="G123" i="41"/>
  <c r="E124" i="41"/>
  <c r="G45" i="44"/>
  <c r="B45" i="44"/>
  <c r="F45" i="44"/>
  <c r="H45" i="44" s="1"/>
  <c r="I45" i="44" s="1"/>
  <c r="I50" i="22"/>
  <c r="G51" i="22"/>
  <c r="B51" i="22"/>
  <c r="H51" i="22"/>
  <c r="F51" i="22"/>
  <c r="F124" i="39"/>
  <c r="B124" i="39"/>
  <c r="B56" i="7"/>
  <c r="H56" i="7"/>
  <c r="I56" i="7" s="1"/>
  <c r="F56" i="7"/>
  <c r="G56" i="7"/>
  <c r="H45" i="39"/>
  <c r="I45" i="39" s="1"/>
  <c r="B45" i="39"/>
  <c r="F45" i="39"/>
  <c r="G45" i="39"/>
  <c r="D124" i="45"/>
  <c r="G123" i="45"/>
  <c r="E124" i="45"/>
  <c r="D47" i="31"/>
  <c r="E47" i="31"/>
  <c r="F43" i="42"/>
  <c r="H43" i="42" s="1"/>
  <c r="B43" i="42"/>
  <c r="F44" i="38"/>
  <c r="B44" i="38"/>
  <c r="B44" i="41"/>
  <c r="H44" i="41"/>
  <c r="G44" i="41"/>
  <c r="F44" i="41"/>
  <c r="E49" i="29"/>
  <c r="D49" i="29"/>
  <c r="H54" i="6"/>
  <c r="I54" i="6" s="1"/>
  <c r="B49" i="24"/>
  <c r="F49" i="24"/>
  <c r="G49" i="24"/>
  <c r="B44" i="43"/>
  <c r="G44" i="43"/>
  <c r="F44" i="43"/>
  <c r="H44" i="43" s="1"/>
  <c r="I44" i="43" s="1"/>
  <c r="G46" i="31"/>
  <c r="I46" i="31" s="1"/>
  <c r="F50" i="23"/>
  <c r="B50" i="23"/>
  <c r="H50" i="23"/>
  <c r="B47" i="28"/>
  <c r="F47" i="28"/>
  <c r="G47" i="28" s="1"/>
  <c r="F53" i="5"/>
  <c r="G53" i="5"/>
  <c r="H53" i="5"/>
  <c r="B53" i="5"/>
  <c r="I124" i="42"/>
  <c r="H124" i="42"/>
  <c r="B55" i="10"/>
  <c r="F55" i="10"/>
  <c r="G55" i="10" s="1"/>
  <c r="H55" i="10"/>
  <c r="G127" i="31"/>
  <c r="D128" i="31"/>
  <c r="E128" i="31"/>
  <c r="B46" i="30"/>
  <c r="F46" i="30"/>
  <c r="G46" i="30" s="1"/>
  <c r="E125" i="42"/>
  <c r="F125" i="42" s="1"/>
  <c r="H56" i="9"/>
  <c r="F56" i="9"/>
  <c r="G56" i="9"/>
  <c r="B56" i="9"/>
  <c r="D55" i="6"/>
  <c r="E55" i="6"/>
  <c r="F132" i="4" l="1"/>
  <c r="B132" i="4"/>
  <c r="B134" i="11"/>
  <c r="F134" i="11"/>
  <c r="B129" i="24"/>
  <c r="F129" i="24"/>
  <c r="B124" i="40"/>
  <c r="F124" i="40"/>
  <c r="F127" i="28"/>
  <c r="B127" i="28"/>
  <c r="H134" i="7"/>
  <c r="I134" i="7"/>
  <c r="J134" i="7" s="1"/>
  <c r="I131" i="4"/>
  <c r="H131" i="4"/>
  <c r="B135" i="10"/>
  <c r="F135" i="10"/>
  <c r="H130" i="22"/>
  <c r="I130" i="22"/>
  <c r="H132" i="6"/>
  <c r="I132" i="6"/>
  <c r="J132" i="6" s="1"/>
  <c r="B133" i="8"/>
  <c r="F133" i="8"/>
  <c r="B131" i="25"/>
  <c r="F131" i="25"/>
  <c r="I126" i="28"/>
  <c r="J126" i="28" s="1"/>
  <c r="H126" i="28"/>
  <c r="I127" i="27"/>
  <c r="H127" i="27"/>
  <c r="I134" i="10"/>
  <c r="J134" i="10" s="1"/>
  <c r="H134" i="10"/>
  <c r="B124" i="37"/>
  <c r="F124" i="37"/>
  <c r="I128" i="24"/>
  <c r="J128" i="24" s="1"/>
  <c r="H128" i="24"/>
  <c r="I130" i="25"/>
  <c r="H130" i="25"/>
  <c r="I123" i="40"/>
  <c r="J123" i="40" s="1"/>
  <c r="H123" i="40"/>
  <c r="B135" i="7"/>
  <c r="F135" i="7"/>
  <c r="B134" i="9"/>
  <c r="F134" i="9"/>
  <c r="B131" i="22"/>
  <c r="F131" i="22"/>
  <c r="H123" i="37"/>
  <c r="I123" i="37"/>
  <c r="B132" i="5"/>
  <c r="F132" i="5"/>
  <c r="B130" i="23"/>
  <c r="F130" i="23"/>
  <c r="H125" i="30"/>
  <c r="I125" i="30"/>
  <c r="J125" i="30" s="1"/>
  <c r="H131" i="3"/>
  <c r="I131" i="3"/>
  <c r="J127" i="29"/>
  <c r="I131" i="5"/>
  <c r="J131" i="5" s="1"/>
  <c r="H131" i="5"/>
  <c r="H129" i="23"/>
  <c r="I129" i="23"/>
  <c r="J129" i="23" s="1"/>
  <c r="F126" i="30"/>
  <c r="B126" i="30"/>
  <c r="D125" i="38"/>
  <c r="G124" i="38"/>
  <c r="E125" i="38"/>
  <c r="F128" i="27"/>
  <c r="B128" i="27"/>
  <c r="B132" i="3"/>
  <c r="F132" i="3"/>
  <c r="I133" i="9"/>
  <c r="H133" i="9"/>
  <c r="F133" i="6"/>
  <c r="B133" i="6"/>
  <c r="H132" i="8"/>
  <c r="I132" i="8"/>
  <c r="J132" i="8" s="1"/>
  <c r="I133" i="11"/>
  <c r="H133" i="11"/>
  <c r="J124" i="42"/>
  <c r="G128" i="29"/>
  <c r="E129" i="29"/>
  <c r="D129" i="29"/>
  <c r="D126" i="42"/>
  <c r="E126" i="42" s="1"/>
  <c r="G125" i="42"/>
  <c r="D46" i="13"/>
  <c r="G45" i="13"/>
  <c r="H45" i="13"/>
  <c r="I45" i="13" s="1"/>
  <c r="D57" i="9"/>
  <c r="E57" i="9"/>
  <c r="F128" i="31"/>
  <c r="B128" i="31"/>
  <c r="E45" i="41"/>
  <c r="D45" i="41"/>
  <c r="H123" i="45"/>
  <c r="I123" i="45"/>
  <c r="D54" i="3"/>
  <c r="E54" i="3"/>
  <c r="I123" i="43"/>
  <c r="H123" i="43"/>
  <c r="D45" i="37"/>
  <c r="E45" i="37"/>
  <c r="B124" i="45"/>
  <c r="F124" i="45"/>
  <c r="E125" i="39"/>
  <c r="G124" i="39"/>
  <c r="D125" i="39"/>
  <c r="D45" i="40"/>
  <c r="E45" i="40"/>
  <c r="D52" i="25"/>
  <c r="E52" i="25"/>
  <c r="B124" i="43"/>
  <c r="F124" i="43"/>
  <c r="E56" i="11"/>
  <c r="D56" i="11"/>
  <c r="E54" i="8"/>
  <c r="D54" i="8"/>
  <c r="H127" i="31"/>
  <c r="I127" i="31"/>
  <c r="I55" i="10"/>
  <c r="D50" i="24"/>
  <c r="E50" i="24"/>
  <c r="I44" i="41"/>
  <c r="D44" i="42"/>
  <c r="E44" i="42"/>
  <c r="I123" i="41"/>
  <c r="H123" i="41"/>
  <c r="G51" i="25"/>
  <c r="D50" i="27"/>
  <c r="E50" i="27"/>
  <c r="D54" i="5"/>
  <c r="E54" i="5"/>
  <c r="G43" i="42"/>
  <c r="I43" i="42" s="1"/>
  <c r="B124" i="41"/>
  <c r="F124" i="41"/>
  <c r="B125" i="44"/>
  <c r="E54" i="4"/>
  <c r="D54" i="4"/>
  <c r="D47" i="30"/>
  <c r="E47" i="30"/>
  <c r="B55" i="6"/>
  <c r="F55" i="6"/>
  <c r="G55" i="6" s="1"/>
  <c r="H47" i="28"/>
  <c r="I47" i="28" s="1"/>
  <c r="D51" i="23"/>
  <c r="E51" i="23"/>
  <c r="H51" i="25"/>
  <c r="I51" i="25" s="1"/>
  <c r="H124" i="44"/>
  <c r="I124" i="44"/>
  <c r="J124" i="44" s="1"/>
  <c r="D44" i="45"/>
  <c r="E44" i="45"/>
  <c r="D45" i="38"/>
  <c r="E45" i="38"/>
  <c r="H46" i="30"/>
  <c r="I46" i="30" s="1"/>
  <c r="H49" i="24"/>
  <c r="I49" i="24" s="1"/>
  <c r="G50" i="23"/>
  <c r="I50" i="23" s="1"/>
  <c r="H44" i="38"/>
  <c r="B47" i="31"/>
  <c r="H47" i="31"/>
  <c r="F47" i="31"/>
  <c r="D46" i="39"/>
  <c r="E46" i="39"/>
  <c r="E57" i="7"/>
  <c r="D57" i="7"/>
  <c r="D52" i="22"/>
  <c r="E52" i="22"/>
  <c r="H44" i="37"/>
  <c r="H53" i="3"/>
  <c r="I53" i="3" s="1"/>
  <c r="E125" i="44"/>
  <c r="F125" i="44" s="1"/>
  <c r="H43" i="45"/>
  <c r="I43" i="45" s="1"/>
  <c r="G53" i="8"/>
  <c r="G53" i="4"/>
  <c r="F126" i="13"/>
  <c r="B126" i="13"/>
  <c r="I56" i="9"/>
  <c r="E56" i="10"/>
  <c r="D56" i="10"/>
  <c r="D48" i="28"/>
  <c r="E48" i="28"/>
  <c r="D45" i="43"/>
  <c r="E45" i="43"/>
  <c r="B49" i="29"/>
  <c r="F49" i="29"/>
  <c r="G49" i="29" s="1"/>
  <c r="G44" i="38"/>
  <c r="I51" i="22"/>
  <c r="D46" i="44"/>
  <c r="E46" i="44"/>
  <c r="G44" i="40"/>
  <c r="I44" i="40" s="1"/>
  <c r="G44" i="37"/>
  <c r="H55" i="11"/>
  <c r="I55" i="11" s="1"/>
  <c r="H53" i="8"/>
  <c r="I53" i="8" s="1"/>
  <c r="H53" i="4"/>
  <c r="I53" i="4" s="1"/>
  <c r="H125" i="13"/>
  <c r="I125" i="13"/>
  <c r="J125" i="13" s="1"/>
  <c r="E133" i="3" l="1"/>
  <c r="D133" i="3"/>
  <c r="G132" i="3"/>
  <c r="D127" i="30"/>
  <c r="E127" i="30"/>
  <c r="G126" i="30"/>
  <c r="E132" i="22"/>
  <c r="D132" i="22"/>
  <c r="G131" i="22"/>
  <c r="G133" i="6"/>
  <c r="E134" i="6"/>
  <c r="D134" i="6"/>
  <c r="H124" i="38"/>
  <c r="I124" i="38"/>
  <c r="J124" i="38" s="1"/>
  <c r="J130" i="25"/>
  <c r="J127" i="27"/>
  <c r="E136" i="7"/>
  <c r="G135" i="7"/>
  <c r="D136" i="7"/>
  <c r="G134" i="11"/>
  <c r="E135" i="11"/>
  <c r="D135" i="11"/>
  <c r="F125" i="38"/>
  <c r="B125" i="38"/>
  <c r="J131" i="3"/>
  <c r="D131" i="23"/>
  <c r="E131" i="23"/>
  <c r="G130" i="23"/>
  <c r="J123" i="37"/>
  <c r="G134" i="9"/>
  <c r="E135" i="9"/>
  <c r="D135" i="9"/>
  <c r="E134" i="8"/>
  <c r="D134" i="8"/>
  <c r="G133" i="8"/>
  <c r="J130" i="22"/>
  <c r="J155" i="22" s="1"/>
  <c r="D130" i="24"/>
  <c r="G129" i="24"/>
  <c r="E130" i="24"/>
  <c r="E133" i="5"/>
  <c r="D133" i="5"/>
  <c r="G132" i="5"/>
  <c r="D125" i="37"/>
  <c r="E125" i="37"/>
  <c r="G124" i="37"/>
  <c r="G131" i="25"/>
  <c r="D132" i="25"/>
  <c r="E132" i="25"/>
  <c r="G135" i="10"/>
  <c r="D136" i="10"/>
  <c r="E136" i="10"/>
  <c r="D125" i="40"/>
  <c r="E125" i="40"/>
  <c r="G124" i="40"/>
  <c r="D129" i="27"/>
  <c r="E129" i="27"/>
  <c r="G128" i="27"/>
  <c r="J131" i="4"/>
  <c r="E128" i="28"/>
  <c r="G127" i="28"/>
  <c r="D128" i="28"/>
  <c r="G132" i="4"/>
  <c r="D133" i="4"/>
  <c r="E133" i="4"/>
  <c r="J123" i="43"/>
  <c r="H128" i="29"/>
  <c r="I128" i="29"/>
  <c r="F129" i="29"/>
  <c r="B129" i="29"/>
  <c r="G125" i="44"/>
  <c r="D126" i="44"/>
  <c r="B54" i="8"/>
  <c r="F54" i="8"/>
  <c r="G54" i="8"/>
  <c r="H54" i="8"/>
  <c r="B45" i="40"/>
  <c r="F45" i="40"/>
  <c r="G45" i="40"/>
  <c r="H45" i="40"/>
  <c r="I45" i="40" s="1"/>
  <c r="F54" i="3"/>
  <c r="B54" i="3"/>
  <c r="H49" i="29"/>
  <c r="I49" i="29" s="1"/>
  <c r="H55" i="6"/>
  <c r="I55" i="6" s="1"/>
  <c r="H54" i="4"/>
  <c r="F54" i="4"/>
  <c r="B54" i="4"/>
  <c r="B50" i="27"/>
  <c r="F50" i="27"/>
  <c r="G50" i="27" s="1"/>
  <c r="B50" i="24"/>
  <c r="G50" i="24"/>
  <c r="F50" i="24"/>
  <c r="H50" i="24"/>
  <c r="F56" i="11"/>
  <c r="H56" i="11" s="1"/>
  <c r="B56" i="11"/>
  <c r="B125" i="39"/>
  <c r="F125" i="39"/>
  <c r="F45" i="37"/>
  <c r="H45" i="37"/>
  <c r="G45" i="37"/>
  <c r="B45" i="37"/>
  <c r="B46" i="13"/>
  <c r="F56" i="10"/>
  <c r="G56" i="10"/>
  <c r="B56" i="10"/>
  <c r="D127" i="13"/>
  <c r="G126" i="13"/>
  <c r="B45" i="38"/>
  <c r="H45" i="38"/>
  <c r="I45" i="38" s="1"/>
  <c r="F45" i="38"/>
  <c r="G45" i="38"/>
  <c r="F44" i="42"/>
  <c r="B44" i="42"/>
  <c r="D125" i="43"/>
  <c r="G124" i="43"/>
  <c r="E125" i="43"/>
  <c r="E46" i="13"/>
  <c r="F46" i="13" s="1"/>
  <c r="H57" i="7"/>
  <c r="I57" i="7" s="1"/>
  <c r="F57" i="7"/>
  <c r="G57" i="7"/>
  <c r="B57" i="7"/>
  <c r="H54" i="5"/>
  <c r="B54" i="5"/>
  <c r="G54" i="5"/>
  <c r="F54" i="5"/>
  <c r="J123" i="41"/>
  <c r="E129" i="31"/>
  <c r="G128" i="31"/>
  <c r="D129" i="31"/>
  <c r="I44" i="37"/>
  <c r="F46" i="39"/>
  <c r="H46" i="39"/>
  <c r="B46" i="39"/>
  <c r="B44" i="45"/>
  <c r="F44" i="45"/>
  <c r="G44" i="45" s="1"/>
  <c r="B51" i="23"/>
  <c r="F51" i="23"/>
  <c r="G124" i="41"/>
  <c r="D125" i="41"/>
  <c r="E125" i="41"/>
  <c r="J123" i="45"/>
  <c r="H125" i="42"/>
  <c r="I125" i="42"/>
  <c r="B45" i="43"/>
  <c r="F45" i="43"/>
  <c r="H45" i="43"/>
  <c r="D50" i="29"/>
  <c r="E50" i="29"/>
  <c r="I44" i="38"/>
  <c r="D56" i="6"/>
  <c r="E56" i="6"/>
  <c r="D48" i="31"/>
  <c r="E48" i="31"/>
  <c r="F47" i="30"/>
  <c r="H47" i="30"/>
  <c r="I47" i="30" s="1"/>
  <c r="B47" i="30"/>
  <c r="G47" i="30"/>
  <c r="J127" i="31"/>
  <c r="B52" i="25"/>
  <c r="F52" i="25"/>
  <c r="H52" i="25" s="1"/>
  <c r="D125" i="45"/>
  <c r="G124" i="45"/>
  <c r="B57" i="9"/>
  <c r="F57" i="9"/>
  <c r="G57" i="9"/>
  <c r="F126" i="42"/>
  <c r="B126" i="42"/>
  <c r="F48" i="28"/>
  <c r="B48" i="28"/>
  <c r="G48" i="28"/>
  <c r="H124" i="39"/>
  <c r="I124" i="39"/>
  <c r="G46" i="44"/>
  <c r="B46" i="44"/>
  <c r="F46" i="44"/>
  <c r="H46" i="44"/>
  <c r="B52" i="22"/>
  <c r="F52" i="22"/>
  <c r="G52" i="22"/>
  <c r="G47" i="31"/>
  <c r="I47" i="31" s="1"/>
  <c r="G45" i="41"/>
  <c r="H45" i="41"/>
  <c r="I45" i="41" s="1"/>
  <c r="B45" i="41"/>
  <c r="F45" i="41"/>
  <c r="B127" i="30" l="1"/>
  <c r="F127" i="30"/>
  <c r="B133" i="4"/>
  <c r="F133" i="4"/>
  <c r="F129" i="27"/>
  <c r="B129" i="27"/>
  <c r="F132" i="25"/>
  <c r="B132" i="25"/>
  <c r="B125" i="37"/>
  <c r="F125" i="37"/>
  <c r="I133" i="8"/>
  <c r="H133" i="8"/>
  <c r="E126" i="38"/>
  <c r="G125" i="38"/>
  <c r="D126" i="38"/>
  <c r="B136" i="7"/>
  <c r="F136" i="7"/>
  <c r="H132" i="3"/>
  <c r="I132" i="3"/>
  <c r="J132" i="3" s="1"/>
  <c r="B125" i="40"/>
  <c r="F125" i="40"/>
  <c r="F135" i="9"/>
  <c r="B135" i="9"/>
  <c r="I130" i="23"/>
  <c r="J130" i="23" s="1"/>
  <c r="J155" i="23" s="1"/>
  <c r="H130" i="23"/>
  <c r="H134" i="11"/>
  <c r="I134" i="11"/>
  <c r="F132" i="22"/>
  <c r="B132" i="22"/>
  <c r="I132" i="4"/>
  <c r="H132" i="4"/>
  <c r="I124" i="40"/>
  <c r="J124" i="40" s="1"/>
  <c r="H124" i="40"/>
  <c r="F136" i="10"/>
  <c r="B136" i="10"/>
  <c r="H131" i="25"/>
  <c r="I131" i="25"/>
  <c r="I132" i="5"/>
  <c r="H132" i="5"/>
  <c r="H129" i="24"/>
  <c r="I129" i="24"/>
  <c r="F134" i="8"/>
  <c r="B134" i="8"/>
  <c r="I134" i="9"/>
  <c r="H134" i="9"/>
  <c r="F131" i="23"/>
  <c r="B131" i="23"/>
  <c r="B135" i="11"/>
  <c r="F135" i="11"/>
  <c r="H135" i="7"/>
  <c r="I135" i="7"/>
  <c r="J135" i="7" s="1"/>
  <c r="I133" i="6"/>
  <c r="J133" i="6" s="1"/>
  <c r="H133" i="6"/>
  <c r="I126" i="30"/>
  <c r="H126" i="30"/>
  <c r="B133" i="3"/>
  <c r="F133" i="3"/>
  <c r="I127" i="28"/>
  <c r="H127" i="28"/>
  <c r="F134" i="6"/>
  <c r="B134" i="6"/>
  <c r="J124" i="39"/>
  <c r="F128" i="28"/>
  <c r="B128" i="28"/>
  <c r="H128" i="27"/>
  <c r="I128" i="27"/>
  <c r="H135" i="10"/>
  <c r="I135" i="10"/>
  <c r="J135" i="10" s="1"/>
  <c r="H124" i="37"/>
  <c r="I124" i="37"/>
  <c r="F133" i="5"/>
  <c r="B133" i="5"/>
  <c r="B130" i="24"/>
  <c r="F130" i="24"/>
  <c r="H131" i="22"/>
  <c r="I131" i="22"/>
  <c r="E130" i="29"/>
  <c r="G129" i="29"/>
  <c r="D130" i="29"/>
  <c r="J128" i="29"/>
  <c r="D47" i="13"/>
  <c r="E47" i="13" s="1"/>
  <c r="H46" i="13"/>
  <c r="G46" i="13"/>
  <c r="D55" i="3"/>
  <c r="E55" i="3"/>
  <c r="G126" i="42"/>
  <c r="D127" i="42"/>
  <c r="G52" i="25"/>
  <c r="I52" i="25" s="1"/>
  <c r="F48" i="31"/>
  <c r="G48" i="31" s="1"/>
  <c r="H48" i="31"/>
  <c r="B48" i="31"/>
  <c r="E46" i="43"/>
  <c r="D46" i="43"/>
  <c r="D55" i="4"/>
  <c r="E55" i="4"/>
  <c r="G54" i="3"/>
  <c r="I54" i="8"/>
  <c r="B129" i="31"/>
  <c r="F129" i="31"/>
  <c r="D57" i="11"/>
  <c r="E57" i="11"/>
  <c r="D45" i="45"/>
  <c r="E45" i="45"/>
  <c r="D53" i="22"/>
  <c r="E53" i="22"/>
  <c r="E58" i="9"/>
  <c r="D58" i="9"/>
  <c r="B56" i="6"/>
  <c r="F56" i="6"/>
  <c r="G56" i="6" s="1"/>
  <c r="H56" i="6"/>
  <c r="G45" i="43"/>
  <c r="I124" i="41"/>
  <c r="H124" i="41"/>
  <c r="H44" i="45"/>
  <c r="I44" i="45" s="1"/>
  <c r="I128" i="31"/>
  <c r="H128" i="31"/>
  <c r="H124" i="43"/>
  <c r="I124" i="43"/>
  <c r="D57" i="10"/>
  <c r="E57" i="10"/>
  <c r="I45" i="37"/>
  <c r="I50" i="24"/>
  <c r="E55" i="8"/>
  <c r="D55" i="8"/>
  <c r="B125" i="45"/>
  <c r="D45" i="42"/>
  <c r="E45" i="42"/>
  <c r="H52" i="22"/>
  <c r="I52" i="22" s="1"/>
  <c r="J125" i="42"/>
  <c r="E52" i="23"/>
  <c r="D52" i="23"/>
  <c r="F125" i="43"/>
  <c r="B125" i="43"/>
  <c r="H56" i="10"/>
  <c r="I56" i="10" s="1"/>
  <c r="D46" i="37"/>
  <c r="E46" i="37"/>
  <c r="D51" i="24"/>
  <c r="E51" i="24"/>
  <c r="D46" i="40"/>
  <c r="E46" i="40"/>
  <c r="D53" i="25"/>
  <c r="E53" i="25"/>
  <c r="H57" i="9"/>
  <c r="I57" i="9" s="1"/>
  <c r="G125" i="39"/>
  <c r="E126" i="39"/>
  <c r="D126" i="39"/>
  <c r="B126" i="44"/>
  <c r="B127" i="13"/>
  <c r="F125" i="41"/>
  <c r="B125" i="41"/>
  <c r="E125" i="45"/>
  <c r="F125" i="45" s="1"/>
  <c r="F50" i="29"/>
  <c r="B50" i="29"/>
  <c r="H50" i="29"/>
  <c r="I50" i="29" s="1"/>
  <c r="G50" i="29"/>
  <c r="G51" i="23"/>
  <c r="D47" i="39"/>
  <c r="E47" i="39"/>
  <c r="G44" i="42"/>
  <c r="H126" i="13"/>
  <c r="I126" i="13"/>
  <c r="H125" i="44"/>
  <c r="I125" i="44"/>
  <c r="I45" i="43"/>
  <c r="E51" i="27"/>
  <c r="D51" i="27"/>
  <c r="I46" i="44"/>
  <c r="D49" i="28"/>
  <c r="E49" i="28"/>
  <c r="D46" i="41"/>
  <c r="E46" i="41"/>
  <c r="D47" i="44"/>
  <c r="E47" i="44"/>
  <c r="H48" i="28"/>
  <c r="I48" i="28" s="1"/>
  <c r="I124" i="45"/>
  <c r="H124" i="45"/>
  <c r="D48" i="30"/>
  <c r="E48" i="30"/>
  <c r="H51" i="23"/>
  <c r="G46" i="39"/>
  <c r="I46" i="39" s="1"/>
  <c r="D55" i="5"/>
  <c r="E55" i="5"/>
  <c r="D58" i="7"/>
  <c r="E58" i="7"/>
  <c r="H44" i="42"/>
  <c r="D46" i="38"/>
  <c r="E46" i="38"/>
  <c r="E127" i="13"/>
  <c r="F127" i="13" s="1"/>
  <c r="G56" i="11"/>
  <c r="I56" i="11" s="1"/>
  <c r="H50" i="27"/>
  <c r="I50" i="27" s="1"/>
  <c r="G54" i="4"/>
  <c r="I54" i="4" s="1"/>
  <c r="H54" i="3"/>
  <c r="I54" i="3" s="1"/>
  <c r="E126" i="44"/>
  <c r="F126" i="44" s="1"/>
  <c r="E129" i="28" l="1"/>
  <c r="G128" i="28"/>
  <c r="D129" i="28"/>
  <c r="B126" i="38"/>
  <c r="F126" i="38"/>
  <c r="J133" i="8"/>
  <c r="D133" i="25"/>
  <c r="E133" i="25"/>
  <c r="G132" i="25"/>
  <c r="G132" i="22"/>
  <c r="D133" i="22"/>
  <c r="E133" i="22"/>
  <c r="G133" i="4"/>
  <c r="E134" i="4"/>
  <c r="D134" i="4"/>
  <c r="D134" i="5"/>
  <c r="E134" i="5"/>
  <c r="G133" i="5"/>
  <c r="G130" i="24"/>
  <c r="E131" i="24"/>
  <c r="D131" i="24"/>
  <c r="J124" i="37"/>
  <c r="J128" i="27"/>
  <c r="J127" i="28"/>
  <c r="J126" i="30"/>
  <c r="E132" i="23"/>
  <c r="G131" i="23"/>
  <c r="D132" i="23"/>
  <c r="G134" i="8"/>
  <c r="E135" i="8"/>
  <c r="D135" i="8"/>
  <c r="J132" i="5"/>
  <c r="G136" i="10"/>
  <c r="E137" i="10"/>
  <c r="D137" i="10"/>
  <c r="J132" i="4"/>
  <c r="D136" i="9"/>
  <c r="E136" i="9"/>
  <c r="G135" i="9"/>
  <c r="H125" i="38"/>
  <c r="I125" i="38"/>
  <c r="D126" i="37"/>
  <c r="G125" i="37"/>
  <c r="E126" i="37"/>
  <c r="G127" i="30"/>
  <c r="E128" i="30"/>
  <c r="D128" i="30"/>
  <c r="E135" i="6"/>
  <c r="D135" i="6"/>
  <c r="G134" i="6"/>
  <c r="J124" i="43"/>
  <c r="G133" i="3"/>
  <c r="E134" i="3"/>
  <c r="D134" i="3"/>
  <c r="D136" i="11"/>
  <c r="G135" i="11"/>
  <c r="E136" i="11"/>
  <c r="J129" i="24"/>
  <c r="J131" i="25"/>
  <c r="E126" i="40"/>
  <c r="D126" i="40"/>
  <c r="G125" i="40"/>
  <c r="E137" i="7"/>
  <c r="D137" i="7"/>
  <c r="G136" i="7"/>
  <c r="E130" i="27"/>
  <c r="D130" i="27"/>
  <c r="G129" i="27"/>
  <c r="B130" i="29"/>
  <c r="F130" i="29"/>
  <c r="H129" i="29"/>
  <c r="I129" i="29"/>
  <c r="J129" i="29" s="1"/>
  <c r="J126" i="13"/>
  <c r="G125" i="45"/>
  <c r="D126" i="45"/>
  <c r="E126" i="45" s="1"/>
  <c r="G127" i="13"/>
  <c r="D128" i="13"/>
  <c r="E128" i="13" s="1"/>
  <c r="G126" i="44"/>
  <c r="D127" i="44"/>
  <c r="B58" i="7"/>
  <c r="G58" i="7"/>
  <c r="F58" i="7"/>
  <c r="H58" i="7"/>
  <c r="I58" i="7" s="1"/>
  <c r="F48" i="30"/>
  <c r="H48" i="30" s="1"/>
  <c r="B48" i="30"/>
  <c r="B51" i="27"/>
  <c r="F51" i="27"/>
  <c r="F53" i="25"/>
  <c r="H53" i="25" s="1"/>
  <c r="I53" i="25" s="1"/>
  <c r="G53" i="25"/>
  <c r="B53" i="25"/>
  <c r="F51" i="24"/>
  <c r="G51" i="24" s="1"/>
  <c r="B51" i="24"/>
  <c r="B55" i="3"/>
  <c r="G55" i="3"/>
  <c r="F55" i="3"/>
  <c r="H55" i="3" s="1"/>
  <c r="I55" i="3" s="1"/>
  <c r="F46" i="40"/>
  <c r="B46" i="40"/>
  <c r="H46" i="40"/>
  <c r="G46" i="40"/>
  <c r="B55" i="8"/>
  <c r="F55" i="8"/>
  <c r="D57" i="6"/>
  <c r="E57" i="6"/>
  <c r="B53" i="22"/>
  <c r="G53" i="22"/>
  <c r="H53" i="22"/>
  <c r="F53" i="22"/>
  <c r="D130" i="31"/>
  <c r="G129" i="31"/>
  <c r="E130" i="31"/>
  <c r="G55" i="4"/>
  <c r="F55" i="4"/>
  <c r="H55" i="4"/>
  <c r="B55" i="4"/>
  <c r="D49" i="31"/>
  <c r="E49" i="31"/>
  <c r="F55" i="5"/>
  <c r="G55" i="5" s="1"/>
  <c r="B55" i="5"/>
  <c r="D126" i="41"/>
  <c r="G125" i="41"/>
  <c r="E126" i="41"/>
  <c r="H46" i="41"/>
  <c r="I46" i="41" s="1"/>
  <c r="B46" i="41"/>
  <c r="F46" i="41"/>
  <c r="G46" i="41"/>
  <c r="B126" i="39"/>
  <c r="F126" i="39"/>
  <c r="G46" i="37"/>
  <c r="F46" i="37"/>
  <c r="B46" i="37"/>
  <c r="J128" i="31"/>
  <c r="I46" i="13"/>
  <c r="J124" i="45"/>
  <c r="I51" i="23"/>
  <c r="J125" i="44"/>
  <c r="D51" i="29"/>
  <c r="E51" i="29"/>
  <c r="G125" i="43"/>
  <c r="D126" i="43"/>
  <c r="E126" i="43"/>
  <c r="F57" i="11"/>
  <c r="G57" i="11" s="1"/>
  <c r="H57" i="11"/>
  <c r="B57" i="11"/>
  <c r="I56" i="6"/>
  <c r="H125" i="39"/>
  <c r="I125" i="39"/>
  <c r="F52" i="23"/>
  <c r="H52" i="23" s="1"/>
  <c r="B52" i="23"/>
  <c r="F57" i="10"/>
  <c r="G57" i="10"/>
  <c r="H57" i="10"/>
  <c r="I57" i="10" s="1"/>
  <c r="B57" i="10"/>
  <c r="B46" i="43"/>
  <c r="H46" i="43"/>
  <c r="I46" i="43" s="1"/>
  <c r="F46" i="43"/>
  <c r="G46" i="43"/>
  <c r="B127" i="42"/>
  <c r="H47" i="13"/>
  <c r="I47" i="13" s="1"/>
  <c r="B47" i="13"/>
  <c r="F47" i="13"/>
  <c r="G47" i="13"/>
  <c r="I48" i="31"/>
  <c r="B46" i="38"/>
  <c r="F46" i="38"/>
  <c r="B49" i="28"/>
  <c r="F49" i="28"/>
  <c r="H49" i="28" s="1"/>
  <c r="I44" i="42"/>
  <c r="F47" i="44"/>
  <c r="H47" i="44" s="1"/>
  <c r="I47" i="44" s="1"/>
  <c r="B47" i="44"/>
  <c r="G47" i="44"/>
  <c r="J124" i="41"/>
  <c r="F45" i="45"/>
  <c r="H45" i="45"/>
  <c r="G45" i="45"/>
  <c r="B45" i="45"/>
  <c r="I126" i="42"/>
  <c r="H126" i="42"/>
  <c r="F47" i="39"/>
  <c r="G47" i="39" s="1"/>
  <c r="B47" i="39"/>
  <c r="B45" i="42"/>
  <c r="F45" i="42"/>
  <c r="H45" i="42"/>
  <c r="G45" i="42"/>
  <c r="F58" i="9"/>
  <c r="H58" i="9"/>
  <c r="B58" i="9"/>
  <c r="E127" i="42"/>
  <c r="F127" i="42" s="1"/>
  <c r="F137" i="7" l="1"/>
  <c r="B137" i="7"/>
  <c r="H135" i="11"/>
  <c r="I135" i="11"/>
  <c r="H133" i="3"/>
  <c r="I133" i="3"/>
  <c r="J133" i="3" s="1"/>
  <c r="B132" i="23"/>
  <c r="F132" i="23"/>
  <c r="F134" i="5"/>
  <c r="B134" i="5"/>
  <c r="F130" i="27"/>
  <c r="B130" i="27"/>
  <c r="F136" i="11"/>
  <c r="B136" i="11"/>
  <c r="B128" i="30"/>
  <c r="F128" i="30"/>
  <c r="I125" i="37"/>
  <c r="H125" i="37"/>
  <c r="H135" i="9"/>
  <c r="I135" i="9"/>
  <c r="F137" i="10"/>
  <c r="B137" i="10"/>
  <c r="B135" i="8"/>
  <c r="F135" i="8"/>
  <c r="H131" i="23"/>
  <c r="I131" i="23"/>
  <c r="H130" i="24"/>
  <c r="I130" i="24"/>
  <c r="J130" i="24" s="1"/>
  <c r="J155" i="24" s="1"/>
  <c r="B134" i="4"/>
  <c r="F134" i="4"/>
  <c r="F133" i="22"/>
  <c r="B133" i="22"/>
  <c r="B133" i="25"/>
  <c r="F133" i="25"/>
  <c r="F129" i="28"/>
  <c r="B129" i="28"/>
  <c r="I125" i="40"/>
  <c r="H125" i="40"/>
  <c r="F134" i="3"/>
  <c r="B134" i="3"/>
  <c r="H134" i="6"/>
  <c r="I134" i="6"/>
  <c r="J134" i="6" s="1"/>
  <c r="F126" i="37"/>
  <c r="B126" i="37"/>
  <c r="I133" i="5"/>
  <c r="H133" i="5"/>
  <c r="I132" i="22"/>
  <c r="H132" i="22"/>
  <c r="I128" i="28"/>
  <c r="H128" i="28"/>
  <c r="I129" i="27"/>
  <c r="H129" i="27"/>
  <c r="H136" i="7"/>
  <c r="I136" i="7"/>
  <c r="J136" i="7" s="1"/>
  <c r="B126" i="40"/>
  <c r="F126" i="40"/>
  <c r="B135" i="6"/>
  <c r="F135" i="6"/>
  <c r="H127" i="30"/>
  <c r="I127" i="30"/>
  <c r="J127" i="30" s="1"/>
  <c r="J125" i="38"/>
  <c r="F136" i="9"/>
  <c r="B136" i="9"/>
  <c r="I136" i="10"/>
  <c r="J136" i="10" s="1"/>
  <c r="H136" i="10"/>
  <c r="I134" i="8"/>
  <c r="H134" i="8"/>
  <c r="F131" i="24"/>
  <c r="B131" i="24"/>
  <c r="I133" i="4"/>
  <c r="H133" i="4"/>
  <c r="I132" i="25"/>
  <c r="J132" i="25" s="1"/>
  <c r="J155" i="25" s="1"/>
  <c r="H132" i="25"/>
  <c r="E127" i="38"/>
  <c r="G126" i="38"/>
  <c r="D127" i="38"/>
  <c r="D131" i="29"/>
  <c r="G130" i="29"/>
  <c r="E131" i="29"/>
  <c r="J125" i="39"/>
  <c r="D52" i="27"/>
  <c r="E52" i="27"/>
  <c r="D48" i="13"/>
  <c r="G52" i="23"/>
  <c r="I52" i="23" s="1"/>
  <c r="D47" i="37"/>
  <c r="E47" i="37"/>
  <c r="H55" i="5"/>
  <c r="I55" i="4"/>
  <c r="G48" i="30"/>
  <c r="I48" i="30" s="1"/>
  <c r="B127" i="44"/>
  <c r="E59" i="9"/>
  <c r="D59" i="9"/>
  <c r="G49" i="28"/>
  <c r="I49" i="28" s="1"/>
  <c r="H46" i="37"/>
  <c r="I46" i="37" s="1"/>
  <c r="D47" i="41"/>
  <c r="E47" i="41"/>
  <c r="D56" i="4"/>
  <c r="E56" i="4"/>
  <c r="I126" i="44"/>
  <c r="H126" i="44"/>
  <c r="F57" i="6"/>
  <c r="H57" i="6" s="1"/>
  <c r="I57" i="6" s="1"/>
  <c r="B57" i="6"/>
  <c r="G57" i="6"/>
  <c r="I46" i="40"/>
  <c r="H51" i="24"/>
  <c r="I51" i="24" s="1"/>
  <c r="D54" i="25"/>
  <c r="E54" i="25"/>
  <c r="G51" i="27"/>
  <c r="H127" i="13"/>
  <c r="I127" i="13"/>
  <c r="E47" i="38"/>
  <c r="D47" i="38"/>
  <c r="D49" i="30"/>
  <c r="E49" i="30"/>
  <c r="D48" i="39"/>
  <c r="E48" i="39"/>
  <c r="G127" i="42"/>
  <c r="D128" i="42"/>
  <c r="E128" i="42" s="1"/>
  <c r="G46" i="38"/>
  <c r="I129" i="31"/>
  <c r="H129" i="31"/>
  <c r="D56" i="8"/>
  <c r="E56" i="8"/>
  <c r="H51" i="27"/>
  <c r="I51" i="27" s="1"/>
  <c r="D59" i="7"/>
  <c r="E59" i="7"/>
  <c r="I57" i="11"/>
  <c r="F128" i="13"/>
  <c r="B128" i="13"/>
  <c r="I45" i="45"/>
  <c r="D58" i="11"/>
  <c r="E58" i="11"/>
  <c r="G58" i="9"/>
  <c r="I58" i="9" s="1"/>
  <c r="H46" i="38"/>
  <c r="F126" i="43"/>
  <c r="B126" i="43"/>
  <c r="H125" i="41"/>
  <c r="I125" i="41"/>
  <c r="B130" i="31"/>
  <c r="F130" i="31"/>
  <c r="D47" i="40"/>
  <c r="E47" i="40"/>
  <c r="D53" i="23"/>
  <c r="E53" i="23"/>
  <c r="D56" i="5"/>
  <c r="E56" i="5"/>
  <c r="E52" i="24"/>
  <c r="D52" i="24"/>
  <c r="I45" i="42"/>
  <c r="H47" i="39"/>
  <c r="I47" i="39" s="1"/>
  <c r="D46" i="42"/>
  <c r="E46" i="42"/>
  <c r="J126" i="42"/>
  <c r="D47" i="43"/>
  <c r="E47" i="43"/>
  <c r="D58" i="10"/>
  <c r="E58" i="10"/>
  <c r="I125" i="43"/>
  <c r="H125" i="43"/>
  <c r="D127" i="39"/>
  <c r="G126" i="39"/>
  <c r="E127" i="39"/>
  <c r="B126" i="41"/>
  <c r="F126" i="41"/>
  <c r="F49" i="31"/>
  <c r="H49" i="31"/>
  <c r="B49" i="31"/>
  <c r="G49" i="31"/>
  <c r="D54" i="22"/>
  <c r="E54" i="22"/>
  <c r="H55" i="8"/>
  <c r="F126" i="45"/>
  <c r="B126" i="45"/>
  <c r="E46" i="45"/>
  <c r="D46" i="45"/>
  <c r="D48" i="44"/>
  <c r="E48" i="44"/>
  <c r="E50" i="28"/>
  <c r="D50" i="28"/>
  <c r="B51" i="29"/>
  <c r="F51" i="29"/>
  <c r="H51" i="29" s="1"/>
  <c r="I53" i="22"/>
  <c r="G55" i="8"/>
  <c r="D56" i="3"/>
  <c r="E56" i="3"/>
  <c r="E127" i="44"/>
  <c r="F127" i="44" s="1"/>
  <c r="I125" i="45"/>
  <c r="H125" i="45"/>
  <c r="D127" i="40" l="1"/>
  <c r="E127" i="40"/>
  <c r="G126" i="40"/>
  <c r="E136" i="8"/>
  <c r="G135" i="8"/>
  <c r="D136" i="8"/>
  <c r="H126" i="38"/>
  <c r="I126" i="38"/>
  <c r="J126" i="38" s="1"/>
  <c r="J129" i="27"/>
  <c r="E127" i="37"/>
  <c r="D127" i="37"/>
  <c r="G126" i="37"/>
  <c r="E135" i="3"/>
  <c r="G134" i="3"/>
  <c r="D135" i="3"/>
  <c r="E130" i="28"/>
  <c r="D130" i="28"/>
  <c r="G129" i="28"/>
  <c r="D134" i="22"/>
  <c r="G133" i="22"/>
  <c r="E134" i="22"/>
  <c r="D131" i="27"/>
  <c r="E131" i="27"/>
  <c r="G130" i="27"/>
  <c r="B127" i="38"/>
  <c r="F127" i="38"/>
  <c r="D132" i="24"/>
  <c r="G131" i="24"/>
  <c r="E132" i="24"/>
  <c r="G128" i="30"/>
  <c r="E129" i="30"/>
  <c r="D129" i="30"/>
  <c r="J133" i="4"/>
  <c r="J134" i="8"/>
  <c r="E137" i="9"/>
  <c r="D137" i="9"/>
  <c r="G136" i="9"/>
  <c r="E136" i="6"/>
  <c r="G135" i="6"/>
  <c r="D136" i="6"/>
  <c r="E134" i="25"/>
  <c r="D134" i="25"/>
  <c r="G133" i="25"/>
  <c r="G134" i="4"/>
  <c r="D135" i="4"/>
  <c r="E135" i="4"/>
  <c r="E133" i="23"/>
  <c r="G132" i="23"/>
  <c r="D133" i="23"/>
  <c r="J128" i="28"/>
  <c r="J133" i="5"/>
  <c r="J125" i="40"/>
  <c r="D138" i="10"/>
  <c r="E138" i="10"/>
  <c r="G137" i="10"/>
  <c r="J125" i="37"/>
  <c r="E137" i="11"/>
  <c r="G136" i="11"/>
  <c r="D137" i="11"/>
  <c r="E135" i="5"/>
  <c r="G134" i="5"/>
  <c r="D135" i="5"/>
  <c r="D138" i="7"/>
  <c r="E138" i="7"/>
  <c r="G137" i="7"/>
  <c r="J127" i="13"/>
  <c r="H130" i="29"/>
  <c r="I130" i="29"/>
  <c r="B131" i="29"/>
  <c r="F131" i="29"/>
  <c r="D128" i="44"/>
  <c r="E128" i="44" s="1"/>
  <c r="G127" i="44"/>
  <c r="G126" i="45"/>
  <c r="D127" i="45"/>
  <c r="E127" i="45" s="1"/>
  <c r="B54" i="22"/>
  <c r="F54" i="22"/>
  <c r="H54" i="22"/>
  <c r="I126" i="39"/>
  <c r="H126" i="39"/>
  <c r="J125" i="41"/>
  <c r="I46" i="38"/>
  <c r="F128" i="42"/>
  <c r="B128" i="42"/>
  <c r="F54" i="25"/>
  <c r="G54" i="25"/>
  <c r="B54" i="25"/>
  <c r="J126" i="44"/>
  <c r="B48" i="44"/>
  <c r="G48" i="44"/>
  <c r="F48" i="44"/>
  <c r="H48" i="44" s="1"/>
  <c r="I48" i="44" s="1"/>
  <c r="I127" i="42"/>
  <c r="H127" i="42"/>
  <c r="F49" i="30"/>
  <c r="G49" i="30" s="1"/>
  <c r="B49" i="30"/>
  <c r="G48" i="39"/>
  <c r="B48" i="39"/>
  <c r="F48" i="39"/>
  <c r="H48" i="39"/>
  <c r="I48" i="39" s="1"/>
  <c r="B52" i="24"/>
  <c r="F52" i="24"/>
  <c r="H52" i="24"/>
  <c r="G52" i="24"/>
  <c r="G128" i="13"/>
  <c r="D129" i="13"/>
  <c r="E129" i="13" s="1"/>
  <c r="F47" i="38"/>
  <c r="H47" i="38"/>
  <c r="B47" i="38"/>
  <c r="G56" i="4"/>
  <c r="B56" i="4"/>
  <c r="F56" i="4"/>
  <c r="B47" i="37"/>
  <c r="F47" i="37"/>
  <c r="G47" i="37" s="1"/>
  <c r="D52" i="29"/>
  <c r="E52" i="29"/>
  <c r="G51" i="29"/>
  <c r="I51" i="29" s="1"/>
  <c r="B46" i="42"/>
  <c r="F46" i="42"/>
  <c r="G46" i="42"/>
  <c r="H46" i="42"/>
  <c r="I46" i="42" s="1"/>
  <c r="B56" i="8"/>
  <c r="F56" i="8"/>
  <c r="H56" i="8"/>
  <c r="B48" i="13"/>
  <c r="B52" i="27"/>
  <c r="F52" i="27"/>
  <c r="H52" i="27"/>
  <c r="B47" i="43"/>
  <c r="F47" i="43"/>
  <c r="H47" i="43" s="1"/>
  <c r="G126" i="43"/>
  <c r="D127" i="43"/>
  <c r="E127" i="43"/>
  <c r="B127" i="39"/>
  <c r="F127" i="39"/>
  <c r="B58" i="11"/>
  <c r="F58" i="11"/>
  <c r="F47" i="41"/>
  <c r="G47" i="41" s="1"/>
  <c r="B47" i="41"/>
  <c r="H47" i="41"/>
  <c r="B59" i="9"/>
  <c r="H59" i="9"/>
  <c r="I59" i="9" s="1"/>
  <c r="G59" i="9"/>
  <c r="F59" i="9"/>
  <c r="E48" i="13"/>
  <c r="F48" i="13" s="1"/>
  <c r="H56" i="3"/>
  <c r="B56" i="3"/>
  <c r="F56" i="3"/>
  <c r="G56" i="3"/>
  <c r="I49" i="31"/>
  <c r="D50" i="31"/>
  <c r="E50" i="31"/>
  <c r="G126" i="41"/>
  <c r="D127" i="41"/>
  <c r="E127" i="41"/>
  <c r="F58" i="10"/>
  <c r="G58" i="10" s="1"/>
  <c r="H58" i="10"/>
  <c r="B58" i="10"/>
  <c r="B56" i="5"/>
  <c r="F56" i="5"/>
  <c r="G56" i="5" s="1"/>
  <c r="B47" i="40"/>
  <c r="F47" i="40"/>
  <c r="H47" i="40"/>
  <c r="G47" i="40"/>
  <c r="F59" i="7"/>
  <c r="B59" i="7"/>
  <c r="J129" i="31"/>
  <c r="F53" i="23"/>
  <c r="G53" i="23" s="1"/>
  <c r="B53" i="23"/>
  <c r="F46" i="45"/>
  <c r="H46" i="45" s="1"/>
  <c r="B46" i="45"/>
  <c r="J125" i="43"/>
  <c r="J125" i="45"/>
  <c r="B50" i="28"/>
  <c r="F50" i="28"/>
  <c r="G50" i="28" s="1"/>
  <c r="H50" i="28"/>
  <c r="I55" i="8"/>
  <c r="E131" i="31"/>
  <c r="G130" i="31"/>
  <c r="D131" i="31"/>
  <c r="E58" i="6"/>
  <c r="D58" i="6"/>
  <c r="H132" i="23" l="1"/>
  <c r="I132" i="23"/>
  <c r="F136" i="6"/>
  <c r="B136" i="6"/>
  <c r="H131" i="24"/>
  <c r="I131" i="24"/>
  <c r="I133" i="22"/>
  <c r="H133" i="22"/>
  <c r="B138" i="7"/>
  <c r="F138" i="7"/>
  <c r="F137" i="11"/>
  <c r="B137" i="11"/>
  <c r="H137" i="10"/>
  <c r="I137" i="10"/>
  <c r="J137" i="10" s="1"/>
  <c r="H133" i="25"/>
  <c r="I133" i="25"/>
  <c r="H135" i="6"/>
  <c r="I135" i="6"/>
  <c r="J135" i="6" s="1"/>
  <c r="F132" i="24"/>
  <c r="B132" i="24"/>
  <c r="B134" i="22"/>
  <c r="F134" i="22"/>
  <c r="B135" i="3"/>
  <c r="F135" i="3"/>
  <c r="B127" i="37"/>
  <c r="F127" i="37"/>
  <c r="H126" i="40"/>
  <c r="I126" i="40"/>
  <c r="J126" i="40" s="1"/>
  <c r="F137" i="9"/>
  <c r="B137" i="9"/>
  <c r="B135" i="5"/>
  <c r="F135" i="5"/>
  <c r="H136" i="11"/>
  <c r="I136" i="11"/>
  <c r="F134" i="25"/>
  <c r="B134" i="25"/>
  <c r="H128" i="30"/>
  <c r="I128" i="30"/>
  <c r="J128" i="30" s="1"/>
  <c r="E128" i="38"/>
  <c r="D128" i="38"/>
  <c r="G127" i="38"/>
  <c r="F131" i="27"/>
  <c r="B131" i="27"/>
  <c r="H129" i="28"/>
  <c r="I129" i="28"/>
  <c r="H134" i="3"/>
  <c r="I134" i="3"/>
  <c r="B136" i="8"/>
  <c r="F136" i="8"/>
  <c r="H134" i="4"/>
  <c r="I134" i="4"/>
  <c r="B129" i="30"/>
  <c r="F129" i="30"/>
  <c r="H130" i="27"/>
  <c r="I130" i="27"/>
  <c r="I126" i="37"/>
  <c r="J126" i="37" s="1"/>
  <c r="H126" i="37"/>
  <c r="H137" i="7"/>
  <c r="I137" i="7"/>
  <c r="I134" i="5"/>
  <c r="J134" i="5" s="1"/>
  <c r="H134" i="5"/>
  <c r="B138" i="10"/>
  <c r="F138" i="10"/>
  <c r="B133" i="23"/>
  <c r="F133" i="23"/>
  <c r="F135" i="4"/>
  <c r="B135" i="4"/>
  <c r="H136" i="9"/>
  <c r="I136" i="9"/>
  <c r="F130" i="28"/>
  <c r="B130" i="28"/>
  <c r="I135" i="8"/>
  <c r="J135" i="8" s="1"/>
  <c r="H135" i="8"/>
  <c r="B127" i="40"/>
  <c r="F127" i="40"/>
  <c r="J126" i="39"/>
  <c r="G131" i="29"/>
  <c r="E132" i="29"/>
  <c r="D132" i="29"/>
  <c r="J130" i="29"/>
  <c r="J127" i="42"/>
  <c r="D49" i="13"/>
  <c r="H48" i="13"/>
  <c r="G48" i="13"/>
  <c r="F127" i="41"/>
  <c r="B127" i="41"/>
  <c r="H126" i="41"/>
  <c r="I126" i="41"/>
  <c r="D59" i="11"/>
  <c r="E59" i="11" s="1"/>
  <c r="I126" i="43"/>
  <c r="H126" i="43"/>
  <c r="D53" i="27"/>
  <c r="E53" i="27"/>
  <c r="D57" i="8"/>
  <c r="E57" i="8"/>
  <c r="F52" i="29"/>
  <c r="B52" i="29"/>
  <c r="E48" i="38"/>
  <c r="D48" i="38"/>
  <c r="I52" i="24"/>
  <c r="D55" i="25"/>
  <c r="E55" i="25"/>
  <c r="D55" i="22"/>
  <c r="E55" i="22"/>
  <c r="F50" i="31"/>
  <c r="G50" i="31"/>
  <c r="H50" i="31"/>
  <c r="I50" i="31" s="1"/>
  <c r="B50" i="31"/>
  <c r="E50" i="30"/>
  <c r="D50" i="30"/>
  <c r="H58" i="11"/>
  <c r="G52" i="27"/>
  <c r="E57" i="4"/>
  <c r="D57" i="4"/>
  <c r="D53" i="24"/>
  <c r="E53" i="24"/>
  <c r="G54" i="22"/>
  <c r="I54" i="22" s="1"/>
  <c r="B127" i="43"/>
  <c r="F127" i="43"/>
  <c r="I47" i="38"/>
  <c r="D47" i="45"/>
  <c r="E47" i="45"/>
  <c r="I47" i="41"/>
  <c r="E48" i="43"/>
  <c r="D48" i="43"/>
  <c r="D48" i="37"/>
  <c r="E48" i="37"/>
  <c r="F129" i="13"/>
  <c r="B129" i="13"/>
  <c r="G128" i="42"/>
  <c r="D129" i="42"/>
  <c r="E129" i="42" s="1"/>
  <c r="D57" i="5"/>
  <c r="E57" i="5"/>
  <c r="I52" i="27"/>
  <c r="I47" i="40"/>
  <c r="G58" i="11"/>
  <c r="I128" i="13"/>
  <c r="H128" i="13"/>
  <c r="I127" i="44"/>
  <c r="H127" i="44"/>
  <c r="D60" i="7"/>
  <c r="E60" i="7"/>
  <c r="F58" i="6"/>
  <c r="G58" i="6"/>
  <c r="B58" i="6"/>
  <c r="H58" i="6"/>
  <c r="D51" i="28"/>
  <c r="E51" i="28"/>
  <c r="G59" i="7"/>
  <c r="D48" i="40"/>
  <c r="E48" i="40"/>
  <c r="D57" i="3"/>
  <c r="E57" i="3"/>
  <c r="D128" i="39"/>
  <c r="G127" i="39"/>
  <c r="E128" i="39"/>
  <c r="G47" i="43"/>
  <c r="I47" i="43" s="1"/>
  <c r="D47" i="42"/>
  <c r="E47" i="42"/>
  <c r="H47" i="37"/>
  <c r="I47" i="37" s="1"/>
  <c r="H56" i="4"/>
  <c r="I56" i="4" s="1"/>
  <c r="D49" i="39"/>
  <c r="E49" i="39"/>
  <c r="F127" i="45"/>
  <c r="B127" i="45"/>
  <c r="I50" i="28"/>
  <c r="G46" i="45"/>
  <c r="I46" i="45" s="1"/>
  <c r="I58" i="10"/>
  <c r="B131" i="31"/>
  <c r="F131" i="31"/>
  <c r="H59" i="7"/>
  <c r="I59" i="7" s="1"/>
  <c r="D59" i="10"/>
  <c r="E59" i="10"/>
  <c r="D60" i="9"/>
  <c r="E60" i="9"/>
  <c r="D48" i="41"/>
  <c r="E48" i="41"/>
  <c r="I126" i="45"/>
  <c r="J126" i="45" s="1"/>
  <c r="H126" i="45"/>
  <c r="F128" i="44"/>
  <c r="B128" i="44"/>
  <c r="D54" i="23"/>
  <c r="E54" i="23"/>
  <c r="H130" i="31"/>
  <c r="I130" i="31"/>
  <c r="H53" i="23"/>
  <c r="I53" i="23" s="1"/>
  <c r="H56" i="5"/>
  <c r="I56" i="3"/>
  <c r="G56" i="8"/>
  <c r="I56" i="8" s="1"/>
  <c r="G47" i="38"/>
  <c r="H49" i="30"/>
  <c r="I49" i="30" s="1"/>
  <c r="D49" i="44"/>
  <c r="E49" i="44"/>
  <c r="H54" i="25"/>
  <c r="I54" i="25" s="1"/>
  <c r="F128" i="38" l="1"/>
  <c r="B128" i="38"/>
  <c r="E136" i="5"/>
  <c r="D136" i="5"/>
  <c r="G135" i="5"/>
  <c r="D128" i="40"/>
  <c r="G127" i="40"/>
  <c r="E128" i="40"/>
  <c r="D139" i="10"/>
  <c r="G138" i="10"/>
  <c r="E139" i="10"/>
  <c r="J137" i="7"/>
  <c r="J130" i="27"/>
  <c r="J134" i="4"/>
  <c r="J134" i="3"/>
  <c r="E135" i="25"/>
  <c r="D135" i="25"/>
  <c r="G134" i="25"/>
  <c r="E133" i="24"/>
  <c r="G132" i="24"/>
  <c r="D133" i="24"/>
  <c r="D138" i="11"/>
  <c r="E138" i="11"/>
  <c r="G137" i="11"/>
  <c r="G136" i="6"/>
  <c r="D137" i="6"/>
  <c r="E137" i="6"/>
  <c r="G130" i="28"/>
  <c r="E131" i="28"/>
  <c r="D131" i="28"/>
  <c r="D136" i="4"/>
  <c r="E136" i="4"/>
  <c r="G135" i="4"/>
  <c r="E132" i="27"/>
  <c r="G131" i="27"/>
  <c r="D132" i="27"/>
  <c r="D128" i="37"/>
  <c r="E128" i="37"/>
  <c r="G127" i="37"/>
  <c r="E135" i="22"/>
  <c r="G134" i="22"/>
  <c r="D135" i="22"/>
  <c r="G138" i="7"/>
  <c r="E139" i="7"/>
  <c r="D139" i="7"/>
  <c r="D136" i="3"/>
  <c r="E136" i="3"/>
  <c r="G135" i="3"/>
  <c r="D134" i="23"/>
  <c r="G133" i="23"/>
  <c r="E134" i="23"/>
  <c r="D130" i="30"/>
  <c r="G129" i="30"/>
  <c r="E130" i="30"/>
  <c r="D137" i="8"/>
  <c r="E137" i="8"/>
  <c r="G136" i="8"/>
  <c r="J129" i="28"/>
  <c r="I127" i="38"/>
  <c r="H127" i="38"/>
  <c r="D138" i="9"/>
  <c r="E138" i="9"/>
  <c r="G137" i="9"/>
  <c r="H131" i="29"/>
  <c r="I131" i="29"/>
  <c r="J126" i="43"/>
  <c r="J128" i="13"/>
  <c r="B132" i="29"/>
  <c r="F132" i="29"/>
  <c r="D53" i="29"/>
  <c r="E53" i="29"/>
  <c r="D128" i="41"/>
  <c r="G127" i="41"/>
  <c r="E128" i="41"/>
  <c r="B54" i="23"/>
  <c r="F54" i="23"/>
  <c r="H54" i="23" s="1"/>
  <c r="I54" i="23" s="1"/>
  <c r="G54" i="23"/>
  <c r="I58" i="6"/>
  <c r="J127" i="44"/>
  <c r="F48" i="43"/>
  <c r="H48" i="43" s="1"/>
  <c r="B48" i="43"/>
  <c r="D51" i="31"/>
  <c r="E51" i="31"/>
  <c r="H52" i="29"/>
  <c r="G57" i="5"/>
  <c r="F57" i="5"/>
  <c r="H57" i="5"/>
  <c r="B57" i="5"/>
  <c r="F59" i="11"/>
  <c r="G59" i="11"/>
  <c r="H59" i="11"/>
  <c r="I59" i="11" s="1"/>
  <c r="B59" i="11"/>
  <c r="J130" i="31"/>
  <c r="F59" i="10"/>
  <c r="H59" i="10"/>
  <c r="G59" i="10"/>
  <c r="B59" i="10"/>
  <c r="D128" i="45"/>
  <c r="E128" i="45" s="1"/>
  <c r="G127" i="45"/>
  <c r="F49" i="39"/>
  <c r="H49" i="39" s="1"/>
  <c r="I49" i="39" s="1"/>
  <c r="G49" i="39"/>
  <c r="B49" i="39"/>
  <c r="H127" i="39"/>
  <c r="I127" i="39"/>
  <c r="I58" i="11"/>
  <c r="I48" i="13"/>
  <c r="F50" i="30"/>
  <c r="G50" i="30"/>
  <c r="B50" i="30"/>
  <c r="F55" i="22"/>
  <c r="H55" i="22" s="1"/>
  <c r="B55" i="22"/>
  <c r="G48" i="38"/>
  <c r="B48" i="38"/>
  <c r="F48" i="38"/>
  <c r="H48" i="38" s="1"/>
  <c r="I48" i="38" s="1"/>
  <c r="F57" i="8"/>
  <c r="G57" i="8" s="1"/>
  <c r="B57" i="8"/>
  <c r="B49" i="13"/>
  <c r="F57" i="3"/>
  <c r="H57" i="3"/>
  <c r="G57" i="3"/>
  <c r="B57" i="3"/>
  <c r="F55" i="25"/>
  <c r="G55" i="25" s="1"/>
  <c r="B55" i="25"/>
  <c r="H55" i="25"/>
  <c r="F51" i="28"/>
  <c r="G51" i="28"/>
  <c r="B51" i="28"/>
  <c r="D128" i="43"/>
  <c r="G127" i="43"/>
  <c r="E128" i="43"/>
  <c r="B48" i="41"/>
  <c r="F48" i="41"/>
  <c r="H48" i="41"/>
  <c r="G131" i="31"/>
  <c r="E132" i="31"/>
  <c r="D132" i="31"/>
  <c r="E59" i="6"/>
  <c r="D59" i="6"/>
  <c r="B60" i="7"/>
  <c r="F60" i="7"/>
  <c r="H60" i="7" s="1"/>
  <c r="G129" i="13"/>
  <c r="D130" i="13"/>
  <c r="E49" i="13"/>
  <c r="F49" i="13" s="1"/>
  <c r="G57" i="4"/>
  <c r="B57" i="4"/>
  <c r="F57" i="4"/>
  <c r="B128" i="39"/>
  <c r="F128" i="39"/>
  <c r="F129" i="42"/>
  <c r="B129" i="42"/>
  <c r="B47" i="45"/>
  <c r="F47" i="45"/>
  <c r="H47" i="45"/>
  <c r="G47" i="45"/>
  <c r="G53" i="27"/>
  <c r="H53" i="27"/>
  <c r="I53" i="27" s="1"/>
  <c r="B53" i="27"/>
  <c r="F53" i="27"/>
  <c r="J126" i="41"/>
  <c r="G128" i="44"/>
  <c r="D129" i="44"/>
  <c r="E129" i="44" s="1"/>
  <c r="B48" i="40"/>
  <c r="F48" i="40"/>
  <c r="G48" i="40" s="1"/>
  <c r="H48" i="40"/>
  <c r="F49" i="44"/>
  <c r="G49" i="44"/>
  <c r="B49" i="44"/>
  <c r="F60" i="9"/>
  <c r="B60" i="9"/>
  <c r="G60" i="9"/>
  <c r="H60" i="9"/>
  <c r="I60" i="9" s="1"/>
  <c r="F47" i="42"/>
  <c r="H47" i="42"/>
  <c r="G47" i="42"/>
  <c r="B47" i="42"/>
  <c r="I128" i="42"/>
  <c r="H128" i="42"/>
  <c r="B48" i="37"/>
  <c r="F48" i="37"/>
  <c r="G48" i="37" s="1"/>
  <c r="H48" i="37"/>
  <c r="B53" i="24"/>
  <c r="H53" i="24"/>
  <c r="F53" i="24"/>
  <c r="G53" i="24" s="1"/>
  <c r="G52" i="29"/>
  <c r="F130" i="30" l="1"/>
  <c r="B130" i="30"/>
  <c r="H135" i="3"/>
  <c r="I135" i="3"/>
  <c r="J135" i="3" s="1"/>
  <c r="F132" i="27"/>
  <c r="B132" i="27"/>
  <c r="I130" i="28"/>
  <c r="H130" i="28"/>
  <c r="I137" i="11"/>
  <c r="H137" i="11"/>
  <c r="I132" i="24"/>
  <c r="H132" i="24"/>
  <c r="F136" i="5"/>
  <c r="B136" i="5"/>
  <c r="H137" i="9"/>
  <c r="I137" i="9"/>
  <c r="J127" i="38"/>
  <c r="F137" i="8"/>
  <c r="B137" i="8"/>
  <c r="I138" i="7"/>
  <c r="J138" i="7" s="1"/>
  <c r="H138" i="7"/>
  <c r="I127" i="37"/>
  <c r="J127" i="37" s="1"/>
  <c r="H127" i="37"/>
  <c r="H131" i="27"/>
  <c r="I131" i="27"/>
  <c r="B136" i="4"/>
  <c r="F136" i="4"/>
  <c r="H127" i="40"/>
  <c r="I127" i="40"/>
  <c r="H133" i="23"/>
  <c r="I133" i="23"/>
  <c r="B136" i="3"/>
  <c r="F136" i="3"/>
  <c r="F135" i="22"/>
  <c r="B135" i="22"/>
  <c r="F131" i="28"/>
  <c r="B131" i="28"/>
  <c r="F137" i="6"/>
  <c r="B137" i="6"/>
  <c r="F138" i="11"/>
  <c r="B138" i="11"/>
  <c r="I134" i="25"/>
  <c r="H134" i="25"/>
  <c r="I138" i="10"/>
  <c r="J138" i="10" s="1"/>
  <c r="H138" i="10"/>
  <c r="B128" i="40"/>
  <c r="F128" i="40"/>
  <c r="J131" i="29"/>
  <c r="B138" i="9"/>
  <c r="F138" i="9"/>
  <c r="H136" i="8"/>
  <c r="I136" i="8"/>
  <c r="J136" i="8" s="1"/>
  <c r="H129" i="30"/>
  <c r="I129" i="30"/>
  <c r="J129" i="30" s="1"/>
  <c r="F134" i="23"/>
  <c r="B134" i="23"/>
  <c r="F139" i="7"/>
  <c r="B139" i="7"/>
  <c r="I134" i="22"/>
  <c r="H134" i="22"/>
  <c r="F128" i="37"/>
  <c r="B128" i="37"/>
  <c r="I135" i="4"/>
  <c r="H135" i="4"/>
  <c r="I136" i="6"/>
  <c r="H136" i="6"/>
  <c r="F133" i="24"/>
  <c r="B133" i="24"/>
  <c r="F135" i="25"/>
  <c r="B135" i="25"/>
  <c r="B139" i="10"/>
  <c r="F139" i="10"/>
  <c r="I135" i="5"/>
  <c r="H135" i="5"/>
  <c r="E129" i="38"/>
  <c r="D129" i="38"/>
  <c r="G128" i="38"/>
  <c r="D133" i="29"/>
  <c r="G132" i="29"/>
  <c r="E133" i="29"/>
  <c r="D50" i="13"/>
  <c r="E50" i="13" s="1"/>
  <c r="G49" i="13"/>
  <c r="H49" i="13"/>
  <c r="I49" i="13" s="1"/>
  <c r="D50" i="44"/>
  <c r="E50" i="44"/>
  <c r="B130" i="13"/>
  <c r="D130" i="42"/>
  <c r="E130" i="42"/>
  <c r="G129" i="42"/>
  <c r="I129" i="13"/>
  <c r="J129" i="13" s="1"/>
  <c r="H129" i="13"/>
  <c r="G60" i="7"/>
  <c r="I60" i="7" s="1"/>
  <c r="D52" i="28"/>
  <c r="E52" i="28"/>
  <c r="I57" i="3"/>
  <c r="I59" i="10"/>
  <c r="D60" i="11"/>
  <c r="E60" i="11"/>
  <c r="I127" i="41"/>
  <c r="H127" i="41"/>
  <c r="I48" i="40"/>
  <c r="E130" i="13"/>
  <c r="F130" i="13" s="1"/>
  <c r="H131" i="31"/>
  <c r="I131" i="31"/>
  <c r="J131" i="31" s="1"/>
  <c r="H51" i="28"/>
  <c r="I51" i="28" s="1"/>
  <c r="D58" i="3"/>
  <c r="E58" i="3"/>
  <c r="H57" i="8"/>
  <c r="I57" i="8" s="1"/>
  <c r="G55" i="22"/>
  <c r="I55" i="22" s="1"/>
  <c r="D60" i="10"/>
  <c r="E60" i="10"/>
  <c r="B128" i="41"/>
  <c r="F128" i="41"/>
  <c r="D129" i="39"/>
  <c r="G128" i="39"/>
  <c r="E129" i="39"/>
  <c r="I47" i="42"/>
  <c r="H59" i="6"/>
  <c r="B59" i="6"/>
  <c r="F59" i="6"/>
  <c r="I55" i="25"/>
  <c r="D50" i="39"/>
  <c r="E50" i="39"/>
  <c r="I52" i="29"/>
  <c r="E49" i="43"/>
  <c r="D49" i="43"/>
  <c r="D61" i="9"/>
  <c r="E61" i="9"/>
  <c r="D48" i="42"/>
  <c r="E48" i="42"/>
  <c r="E49" i="41"/>
  <c r="D49" i="41"/>
  <c r="D58" i="8"/>
  <c r="E58" i="8"/>
  <c r="D56" i="22"/>
  <c r="E56" i="22"/>
  <c r="G48" i="43"/>
  <c r="I48" i="43" s="1"/>
  <c r="F53" i="29"/>
  <c r="H53" i="29" s="1"/>
  <c r="I53" i="29" s="1"/>
  <c r="G53" i="29"/>
  <c r="B53" i="29"/>
  <c r="I53" i="24"/>
  <c r="H128" i="44"/>
  <c r="I128" i="44"/>
  <c r="F132" i="31"/>
  <c r="B132" i="31"/>
  <c r="E51" i="30"/>
  <c r="D51" i="30"/>
  <c r="D49" i="37"/>
  <c r="E49" i="37"/>
  <c r="D49" i="40"/>
  <c r="E49" i="40"/>
  <c r="H49" i="44"/>
  <c r="I49" i="44" s="1"/>
  <c r="I47" i="45"/>
  <c r="E58" i="4"/>
  <c r="D58" i="4"/>
  <c r="I127" i="43"/>
  <c r="H127" i="43"/>
  <c r="H50" i="30"/>
  <c r="I50" i="30" s="1"/>
  <c r="I127" i="45"/>
  <c r="H127" i="45"/>
  <c r="F51" i="31"/>
  <c r="G51" i="31"/>
  <c r="B51" i="31"/>
  <c r="H51" i="31"/>
  <c r="I51" i="31" s="1"/>
  <c r="D61" i="7"/>
  <c r="I48" i="37"/>
  <c r="D54" i="24"/>
  <c r="E54" i="24"/>
  <c r="J128" i="42"/>
  <c r="B129" i="44"/>
  <c r="F129" i="44"/>
  <c r="D54" i="27"/>
  <c r="E54" i="27"/>
  <c r="D48" i="45"/>
  <c r="E48" i="45"/>
  <c r="H57" i="4"/>
  <c r="I57" i="4" s="1"/>
  <c r="G48" i="41"/>
  <c r="I48" i="41" s="1"/>
  <c r="B128" i="43"/>
  <c r="F128" i="43"/>
  <c r="D56" i="25"/>
  <c r="E56" i="25"/>
  <c r="D49" i="38"/>
  <c r="E49" i="38"/>
  <c r="J127" i="39"/>
  <c r="B128" i="45"/>
  <c r="F128" i="45"/>
  <c r="E58" i="5"/>
  <c r="D58" i="5"/>
  <c r="D55" i="23"/>
  <c r="E55" i="23"/>
  <c r="B129" i="38" l="1"/>
  <c r="F129" i="38"/>
  <c r="E139" i="11"/>
  <c r="G138" i="11"/>
  <c r="D139" i="11"/>
  <c r="D132" i="28"/>
  <c r="G131" i="28"/>
  <c r="E132" i="28"/>
  <c r="D134" i="24"/>
  <c r="E134" i="24"/>
  <c r="G133" i="24"/>
  <c r="J135" i="4"/>
  <c r="E135" i="23"/>
  <c r="D135" i="23"/>
  <c r="G134" i="23"/>
  <c r="E129" i="40"/>
  <c r="G128" i="40"/>
  <c r="D129" i="40"/>
  <c r="D137" i="4"/>
  <c r="E137" i="4"/>
  <c r="G136" i="4"/>
  <c r="J130" i="28"/>
  <c r="G139" i="10"/>
  <c r="E140" i="10"/>
  <c r="D140" i="10"/>
  <c r="D139" i="9"/>
  <c r="G138" i="9"/>
  <c r="E139" i="9"/>
  <c r="D138" i="6"/>
  <c r="E138" i="6"/>
  <c r="G137" i="6"/>
  <c r="D136" i="22"/>
  <c r="G135" i="22"/>
  <c r="E136" i="22"/>
  <c r="G137" i="8"/>
  <c r="D138" i="8"/>
  <c r="E138" i="8"/>
  <c r="H128" i="38"/>
  <c r="I128" i="38"/>
  <c r="J135" i="5"/>
  <c r="E136" i="25"/>
  <c r="G135" i="25"/>
  <c r="D136" i="25"/>
  <c r="J136" i="6"/>
  <c r="G128" i="37"/>
  <c r="D129" i="37"/>
  <c r="E129" i="37"/>
  <c r="G139" i="7"/>
  <c r="E140" i="7"/>
  <c r="D140" i="7"/>
  <c r="G136" i="3"/>
  <c r="E137" i="3"/>
  <c r="D137" i="3"/>
  <c r="J127" i="40"/>
  <c r="J131" i="27"/>
  <c r="E137" i="5"/>
  <c r="G136" i="5"/>
  <c r="D137" i="5"/>
  <c r="E133" i="27"/>
  <c r="D133" i="27"/>
  <c r="G132" i="27"/>
  <c r="E131" i="30"/>
  <c r="G130" i="30"/>
  <c r="D131" i="30"/>
  <c r="I132" i="29"/>
  <c r="H132" i="29"/>
  <c r="B133" i="29"/>
  <c r="F133" i="29"/>
  <c r="J128" i="44"/>
  <c r="G130" i="13"/>
  <c r="D131" i="13"/>
  <c r="F54" i="24"/>
  <c r="G54" i="24"/>
  <c r="H54" i="24"/>
  <c r="I54" i="24" s="1"/>
  <c r="B54" i="24"/>
  <c r="F55" i="23"/>
  <c r="H55" i="23"/>
  <c r="B55" i="23"/>
  <c r="G55" i="23"/>
  <c r="F48" i="45"/>
  <c r="B48" i="45"/>
  <c r="B58" i="4"/>
  <c r="F58" i="4"/>
  <c r="H58" i="4" s="1"/>
  <c r="I58" i="4" s="1"/>
  <c r="G58" i="4"/>
  <c r="H56" i="22"/>
  <c r="G56" i="22"/>
  <c r="B56" i="22"/>
  <c r="F56" i="22"/>
  <c r="B50" i="39"/>
  <c r="F50" i="39"/>
  <c r="G50" i="39" s="1"/>
  <c r="I128" i="39"/>
  <c r="H128" i="39"/>
  <c r="J127" i="41"/>
  <c r="F52" i="28"/>
  <c r="H52" i="28"/>
  <c r="G52" i="28"/>
  <c r="B52" i="28"/>
  <c r="B130" i="42"/>
  <c r="F130" i="42"/>
  <c r="B61" i="7"/>
  <c r="B49" i="38"/>
  <c r="F49" i="38"/>
  <c r="G49" i="38" s="1"/>
  <c r="B58" i="8"/>
  <c r="F58" i="8"/>
  <c r="H58" i="8"/>
  <c r="G128" i="41"/>
  <c r="D129" i="41"/>
  <c r="E129" i="41"/>
  <c r="F60" i="10"/>
  <c r="H60" i="10"/>
  <c r="G60" i="10"/>
  <c r="B60" i="10"/>
  <c r="F58" i="5"/>
  <c r="B58" i="5"/>
  <c r="G58" i="5"/>
  <c r="H48" i="42"/>
  <c r="I48" i="42" s="1"/>
  <c r="B48" i="42"/>
  <c r="F48" i="42"/>
  <c r="G48" i="42"/>
  <c r="B58" i="3"/>
  <c r="F58" i="3"/>
  <c r="H58" i="3" s="1"/>
  <c r="F51" i="30"/>
  <c r="G51" i="30"/>
  <c r="B51" i="30"/>
  <c r="D129" i="43"/>
  <c r="G128" i="43"/>
  <c r="E129" i="43"/>
  <c r="D52" i="31"/>
  <c r="E52" i="31"/>
  <c r="B49" i="43"/>
  <c r="F49" i="43"/>
  <c r="H49" i="43"/>
  <c r="H60" i="11"/>
  <c r="F60" i="11"/>
  <c r="B60" i="11"/>
  <c r="F50" i="44"/>
  <c r="B50" i="44"/>
  <c r="H50" i="44"/>
  <c r="G50" i="44"/>
  <c r="D54" i="29"/>
  <c r="E54" i="29"/>
  <c r="B54" i="27"/>
  <c r="F54" i="27"/>
  <c r="H54" i="27" s="1"/>
  <c r="B56" i="25"/>
  <c r="F56" i="25"/>
  <c r="H56" i="25"/>
  <c r="I56" i="25" s="1"/>
  <c r="G56" i="25"/>
  <c r="G129" i="44"/>
  <c r="D130" i="44"/>
  <c r="G128" i="45"/>
  <c r="D129" i="45"/>
  <c r="E129" i="45" s="1"/>
  <c r="B49" i="40"/>
  <c r="H49" i="40"/>
  <c r="G49" i="40"/>
  <c r="F49" i="40"/>
  <c r="B61" i="9"/>
  <c r="F61" i="9"/>
  <c r="H61" i="9" s="1"/>
  <c r="D60" i="6"/>
  <c r="E60" i="6"/>
  <c r="B50" i="13"/>
  <c r="F50" i="13"/>
  <c r="F49" i="37"/>
  <c r="B49" i="37"/>
  <c r="F129" i="39"/>
  <c r="B129" i="39"/>
  <c r="J127" i="43"/>
  <c r="F49" i="41"/>
  <c r="B49" i="41"/>
  <c r="E61" i="7"/>
  <c r="F61" i="7" s="1"/>
  <c r="J127" i="45"/>
  <c r="G132" i="31"/>
  <c r="D133" i="31"/>
  <c r="E133" i="31"/>
  <c r="G59" i="6"/>
  <c r="I59" i="6" s="1"/>
  <c r="H129" i="42"/>
  <c r="I129" i="42"/>
  <c r="B133" i="27" l="1"/>
  <c r="F133" i="27"/>
  <c r="B136" i="22"/>
  <c r="F136" i="22"/>
  <c r="H138" i="11"/>
  <c r="I138" i="11"/>
  <c r="I130" i="30"/>
  <c r="H130" i="30"/>
  <c r="I136" i="3"/>
  <c r="H136" i="3"/>
  <c r="B136" i="25"/>
  <c r="F136" i="25"/>
  <c r="J128" i="38"/>
  <c r="I137" i="8"/>
  <c r="H137" i="8"/>
  <c r="H137" i="6"/>
  <c r="I137" i="6"/>
  <c r="I138" i="9"/>
  <c r="H138" i="9"/>
  <c r="H139" i="10"/>
  <c r="I139" i="10"/>
  <c r="F137" i="4"/>
  <c r="B137" i="4"/>
  <c r="I134" i="23"/>
  <c r="H134" i="23"/>
  <c r="H133" i="24"/>
  <c r="I133" i="24"/>
  <c r="H131" i="28"/>
  <c r="I131" i="28"/>
  <c r="F131" i="30"/>
  <c r="B131" i="30"/>
  <c r="F137" i="5"/>
  <c r="B137" i="5"/>
  <c r="F140" i="7"/>
  <c r="B140" i="7"/>
  <c r="B129" i="37"/>
  <c r="F129" i="37"/>
  <c r="I135" i="25"/>
  <c r="H135" i="25"/>
  <c r="B139" i="9"/>
  <c r="F139" i="9"/>
  <c r="F129" i="40"/>
  <c r="B129" i="40"/>
  <c r="F135" i="23"/>
  <c r="B135" i="23"/>
  <c r="F132" i="28"/>
  <c r="B132" i="28"/>
  <c r="D130" i="38"/>
  <c r="G129" i="38"/>
  <c r="E130" i="38"/>
  <c r="H139" i="7"/>
  <c r="I139" i="7"/>
  <c r="J139" i="7" s="1"/>
  <c r="B138" i="8"/>
  <c r="F138" i="8"/>
  <c r="J132" i="29"/>
  <c r="H132" i="27"/>
  <c r="I132" i="27"/>
  <c r="H136" i="5"/>
  <c r="I136" i="5"/>
  <c r="J136" i="5" s="1"/>
  <c r="F137" i="3"/>
  <c r="B137" i="3"/>
  <c r="I128" i="37"/>
  <c r="H128" i="37"/>
  <c r="I135" i="22"/>
  <c r="H135" i="22"/>
  <c r="B138" i="6"/>
  <c r="F138" i="6"/>
  <c r="F140" i="10"/>
  <c r="B140" i="10"/>
  <c r="H136" i="4"/>
  <c r="I136" i="4"/>
  <c r="J136" i="4" s="1"/>
  <c r="H128" i="40"/>
  <c r="I128" i="40"/>
  <c r="F134" i="24"/>
  <c r="B134" i="24"/>
  <c r="B139" i="11"/>
  <c r="F139" i="11"/>
  <c r="G133" i="29"/>
  <c r="E134" i="29"/>
  <c r="D134" i="29"/>
  <c r="D62" i="7"/>
  <c r="E62" i="7" s="1"/>
  <c r="G61" i="7"/>
  <c r="H61" i="7"/>
  <c r="I61" i="7" s="1"/>
  <c r="D50" i="41"/>
  <c r="E50" i="41"/>
  <c r="D49" i="45"/>
  <c r="E49" i="45"/>
  <c r="I49" i="40"/>
  <c r="D51" i="13"/>
  <c r="I129" i="44"/>
  <c r="H129" i="44"/>
  <c r="G54" i="27"/>
  <c r="I54" i="27" s="1"/>
  <c r="I50" i="44"/>
  <c r="D52" i="30"/>
  <c r="E52" i="30"/>
  <c r="I128" i="41"/>
  <c r="H128" i="41"/>
  <c r="D59" i="8"/>
  <c r="I56" i="22"/>
  <c r="H48" i="45"/>
  <c r="D59" i="3"/>
  <c r="E59" i="3"/>
  <c r="B130" i="44"/>
  <c r="J128" i="39"/>
  <c r="F52" i="31"/>
  <c r="G52" i="31" s="1"/>
  <c r="B52" i="31"/>
  <c r="D59" i="5"/>
  <c r="E59" i="5"/>
  <c r="I128" i="45"/>
  <c r="H128" i="45"/>
  <c r="D59" i="4"/>
  <c r="E59" i="4"/>
  <c r="G50" i="13"/>
  <c r="D51" i="44"/>
  <c r="E51" i="44"/>
  <c r="D50" i="43"/>
  <c r="E50" i="43"/>
  <c r="H58" i="5"/>
  <c r="G58" i="8"/>
  <c r="I58" i="8" s="1"/>
  <c r="D51" i="39"/>
  <c r="E51" i="39"/>
  <c r="D55" i="24"/>
  <c r="E55" i="24"/>
  <c r="D62" i="9"/>
  <c r="E62" i="9"/>
  <c r="D55" i="27"/>
  <c r="E55" i="27"/>
  <c r="D50" i="37"/>
  <c r="E50" i="37"/>
  <c r="G61" i="9"/>
  <c r="I61" i="9" s="1"/>
  <c r="G48" i="45"/>
  <c r="B54" i="29"/>
  <c r="F54" i="29"/>
  <c r="G54" i="29"/>
  <c r="H54" i="29"/>
  <c r="I54" i="29" s="1"/>
  <c r="G49" i="43"/>
  <c r="I49" i="43" s="1"/>
  <c r="H128" i="43"/>
  <c r="I128" i="43"/>
  <c r="I52" i="28"/>
  <c r="H50" i="39"/>
  <c r="I50" i="39" s="1"/>
  <c r="I55" i="23"/>
  <c r="B131" i="13"/>
  <c r="D50" i="38"/>
  <c r="E50" i="38"/>
  <c r="G49" i="41"/>
  <c r="H50" i="13"/>
  <c r="I50" i="13" s="1"/>
  <c r="H132" i="31"/>
  <c r="I132" i="31"/>
  <c r="J132" i="31" s="1"/>
  <c r="H49" i="41"/>
  <c r="I49" i="41" s="1"/>
  <c r="G49" i="37"/>
  <c r="D57" i="25"/>
  <c r="E57" i="25"/>
  <c r="D61" i="11"/>
  <c r="E61" i="11"/>
  <c r="B129" i="43"/>
  <c r="F129" i="43"/>
  <c r="E49" i="42"/>
  <c r="D49" i="42"/>
  <c r="I60" i="10"/>
  <c r="D53" i="28"/>
  <c r="E53" i="28"/>
  <c r="D56" i="23"/>
  <c r="E56" i="23"/>
  <c r="E131" i="13"/>
  <c r="F131" i="13" s="1"/>
  <c r="F129" i="41"/>
  <c r="B129" i="41"/>
  <c r="G130" i="42"/>
  <c r="D131" i="42"/>
  <c r="E131" i="42" s="1"/>
  <c r="E130" i="44"/>
  <c r="F130" i="44" s="1"/>
  <c r="B133" i="31"/>
  <c r="F133" i="31"/>
  <c r="D130" i="39"/>
  <c r="E130" i="39"/>
  <c r="G129" i="39"/>
  <c r="J129" i="42"/>
  <c r="H49" i="37"/>
  <c r="I49" i="37" s="1"/>
  <c r="H60" i="6"/>
  <c r="B60" i="6"/>
  <c r="F60" i="6"/>
  <c r="D50" i="40"/>
  <c r="E50" i="40"/>
  <c r="F129" i="45"/>
  <c r="B129" i="45"/>
  <c r="G60" i="11"/>
  <c r="I60" i="11" s="1"/>
  <c r="H51" i="30"/>
  <c r="I51" i="30" s="1"/>
  <c r="G58" i="3"/>
  <c r="I58" i="3" s="1"/>
  <c r="D61" i="10"/>
  <c r="H49" i="38"/>
  <c r="I49" i="38" s="1"/>
  <c r="D57" i="22"/>
  <c r="E57" i="22"/>
  <c r="H130" i="13"/>
  <c r="I130" i="13"/>
  <c r="J130" i="13" s="1"/>
  <c r="J155" i="13" s="1"/>
  <c r="G135" i="23" l="1"/>
  <c r="E136" i="23"/>
  <c r="D136" i="23"/>
  <c r="G137" i="5"/>
  <c r="E138" i="5"/>
  <c r="D138" i="5"/>
  <c r="E137" i="22"/>
  <c r="D137" i="22"/>
  <c r="G136" i="22"/>
  <c r="G138" i="6"/>
  <c r="D139" i="6"/>
  <c r="E139" i="6"/>
  <c r="J130" i="30"/>
  <c r="D141" i="10"/>
  <c r="G140" i="10"/>
  <c r="E141" i="10"/>
  <c r="E138" i="3"/>
  <c r="D138" i="3"/>
  <c r="G137" i="3"/>
  <c r="D137" i="25"/>
  <c r="E137" i="25"/>
  <c r="G136" i="25"/>
  <c r="J129" i="44"/>
  <c r="E135" i="24"/>
  <c r="G134" i="24"/>
  <c r="D135" i="24"/>
  <c r="J128" i="37"/>
  <c r="D139" i="8"/>
  <c r="E139" i="8"/>
  <c r="G138" i="8"/>
  <c r="E133" i="28"/>
  <c r="G132" i="28"/>
  <c r="D133" i="28"/>
  <c r="E130" i="40"/>
  <c r="D130" i="40"/>
  <c r="G129" i="40"/>
  <c r="D141" i="7"/>
  <c r="E141" i="7"/>
  <c r="G140" i="7"/>
  <c r="D132" i="30"/>
  <c r="E132" i="30"/>
  <c r="G131" i="30"/>
  <c r="G137" i="4"/>
  <c r="D138" i="4"/>
  <c r="E138" i="4"/>
  <c r="J137" i="8"/>
  <c r="G133" i="27"/>
  <c r="E134" i="27"/>
  <c r="D134" i="27"/>
  <c r="F130" i="38"/>
  <c r="B130" i="38"/>
  <c r="G139" i="11"/>
  <c r="E140" i="11"/>
  <c r="D140" i="11"/>
  <c r="J128" i="40"/>
  <c r="J132" i="27"/>
  <c r="H129" i="38"/>
  <c r="I129" i="38"/>
  <c r="J129" i="38" s="1"/>
  <c r="G139" i="9"/>
  <c r="E140" i="9"/>
  <c r="D140" i="9"/>
  <c r="D130" i="37"/>
  <c r="E130" i="37"/>
  <c r="G129" i="37"/>
  <c r="J131" i="28"/>
  <c r="J139" i="10"/>
  <c r="J137" i="6"/>
  <c r="J136" i="3"/>
  <c r="I133" i="29"/>
  <c r="H133" i="29"/>
  <c r="F134" i="29"/>
  <c r="B134" i="29"/>
  <c r="D131" i="44"/>
  <c r="E131" i="44" s="1"/>
  <c r="G130" i="44"/>
  <c r="B130" i="39"/>
  <c r="F130" i="39"/>
  <c r="E134" i="31"/>
  <c r="D134" i="31"/>
  <c r="G133" i="31"/>
  <c r="G129" i="43"/>
  <c r="D130" i="43"/>
  <c r="E130" i="43"/>
  <c r="F50" i="38"/>
  <c r="H50" i="38"/>
  <c r="B50" i="38"/>
  <c r="G50" i="38"/>
  <c r="J128" i="45"/>
  <c r="B59" i="5"/>
  <c r="F59" i="5"/>
  <c r="H59" i="5"/>
  <c r="G59" i="5"/>
  <c r="B59" i="3"/>
  <c r="G59" i="3"/>
  <c r="F59" i="3"/>
  <c r="J128" i="41"/>
  <c r="B51" i="13"/>
  <c r="B61" i="10"/>
  <c r="D130" i="41"/>
  <c r="G129" i="41"/>
  <c r="E130" i="41"/>
  <c r="D130" i="45"/>
  <c r="E130" i="45" s="1"/>
  <c r="G129" i="45"/>
  <c r="F55" i="27"/>
  <c r="G55" i="27" s="1"/>
  <c r="H55" i="27"/>
  <c r="B55" i="27"/>
  <c r="F51" i="39"/>
  <c r="B51" i="39"/>
  <c r="F59" i="4"/>
  <c r="H59" i="4" s="1"/>
  <c r="B59" i="4"/>
  <c r="E51" i="13"/>
  <c r="F51" i="13" s="1"/>
  <c r="H53" i="28"/>
  <c r="F53" i="28"/>
  <c r="G53" i="28"/>
  <c r="B53" i="28"/>
  <c r="G57" i="22"/>
  <c r="B57" i="22"/>
  <c r="H57" i="22"/>
  <c r="I57" i="22" s="1"/>
  <c r="F57" i="22"/>
  <c r="H52" i="31"/>
  <c r="I52" i="31" s="1"/>
  <c r="B52" i="30"/>
  <c r="F52" i="30"/>
  <c r="G52" i="30" s="1"/>
  <c r="B50" i="41"/>
  <c r="G50" i="41"/>
  <c r="F50" i="41"/>
  <c r="H50" i="41"/>
  <c r="F50" i="40"/>
  <c r="H50" i="40" s="1"/>
  <c r="I50" i="40" s="1"/>
  <c r="G50" i="40"/>
  <c r="B50" i="40"/>
  <c r="B61" i="11"/>
  <c r="H61" i="11"/>
  <c r="I61" i="11" s="1"/>
  <c r="G61" i="11"/>
  <c r="F61" i="11"/>
  <c r="D55" i="29"/>
  <c r="E55" i="29"/>
  <c r="F62" i="9"/>
  <c r="B62" i="9"/>
  <c r="G62" i="9"/>
  <c r="H62" i="9"/>
  <c r="I62" i="9" s="1"/>
  <c r="I48" i="45"/>
  <c r="H56" i="23"/>
  <c r="F56" i="23"/>
  <c r="G56" i="23"/>
  <c r="B56" i="23"/>
  <c r="B49" i="42"/>
  <c r="H49" i="42"/>
  <c r="F49" i="42"/>
  <c r="G49" i="42" s="1"/>
  <c r="G131" i="13"/>
  <c r="D132" i="13"/>
  <c r="E132" i="13" s="1"/>
  <c r="F50" i="37"/>
  <c r="H50" i="37" s="1"/>
  <c r="I50" i="37" s="1"/>
  <c r="B50" i="37"/>
  <c r="G50" i="37"/>
  <c r="B50" i="43"/>
  <c r="F50" i="43"/>
  <c r="H50" i="43" s="1"/>
  <c r="I50" i="43" s="1"/>
  <c r="G50" i="43"/>
  <c r="D53" i="31"/>
  <c r="E53" i="31"/>
  <c r="F49" i="45"/>
  <c r="H49" i="45"/>
  <c r="B49" i="45"/>
  <c r="B62" i="7"/>
  <c r="F62" i="7"/>
  <c r="H62" i="7"/>
  <c r="G62" i="7"/>
  <c r="D61" i="6"/>
  <c r="H129" i="39"/>
  <c r="I129" i="39"/>
  <c r="H130" i="42"/>
  <c r="I130" i="42"/>
  <c r="B57" i="25"/>
  <c r="F57" i="25"/>
  <c r="G57" i="25" s="1"/>
  <c r="H55" i="24"/>
  <c r="F55" i="24"/>
  <c r="B55" i="24"/>
  <c r="F59" i="8"/>
  <c r="G59" i="8" s="1"/>
  <c r="B59" i="8"/>
  <c r="F131" i="42"/>
  <c r="B131" i="42"/>
  <c r="G60" i="6"/>
  <c r="I60" i="6" s="1"/>
  <c r="E61" i="10"/>
  <c r="F61" i="10" s="1"/>
  <c r="J128" i="43"/>
  <c r="H51" i="44"/>
  <c r="F51" i="44"/>
  <c r="G51" i="44" s="1"/>
  <c r="B51" i="44"/>
  <c r="E59" i="8"/>
  <c r="I129" i="37" l="1"/>
  <c r="H129" i="37"/>
  <c r="I139" i="11"/>
  <c r="H139" i="11"/>
  <c r="F132" i="30"/>
  <c r="B132" i="30"/>
  <c r="F139" i="8"/>
  <c r="B139" i="8"/>
  <c r="B137" i="22"/>
  <c r="F137" i="22"/>
  <c r="I137" i="5"/>
  <c r="H137" i="5"/>
  <c r="I139" i="9"/>
  <c r="H139" i="9"/>
  <c r="I133" i="27"/>
  <c r="H133" i="27"/>
  <c r="H137" i="4"/>
  <c r="I137" i="4"/>
  <c r="J137" i="4" s="1"/>
  <c r="I140" i="7"/>
  <c r="H140" i="7"/>
  <c r="F130" i="40"/>
  <c r="B130" i="40"/>
  <c r="H137" i="3"/>
  <c r="I137" i="3"/>
  <c r="J137" i="3" s="1"/>
  <c r="I140" i="10"/>
  <c r="H140" i="10"/>
  <c r="B139" i="6"/>
  <c r="F139" i="6"/>
  <c r="B136" i="23"/>
  <c r="F136" i="23"/>
  <c r="B137" i="25"/>
  <c r="F137" i="25"/>
  <c r="B130" i="37"/>
  <c r="F130" i="37"/>
  <c r="F140" i="11"/>
  <c r="B140" i="11"/>
  <c r="E131" i="38"/>
  <c r="G130" i="38"/>
  <c r="D131" i="38"/>
  <c r="H131" i="30"/>
  <c r="I131" i="30"/>
  <c r="I138" i="8"/>
  <c r="J138" i="8" s="1"/>
  <c r="H138" i="8"/>
  <c r="B135" i="24"/>
  <c r="F135" i="24"/>
  <c r="I136" i="25"/>
  <c r="H136" i="25"/>
  <c r="B138" i="3"/>
  <c r="F138" i="3"/>
  <c r="F141" i="10"/>
  <c r="B141" i="10"/>
  <c r="I138" i="6"/>
  <c r="J138" i="6" s="1"/>
  <c r="H138" i="6"/>
  <c r="F138" i="5"/>
  <c r="B138" i="5"/>
  <c r="B138" i="4"/>
  <c r="F138" i="4"/>
  <c r="I129" i="40"/>
  <c r="J129" i="40" s="1"/>
  <c r="H129" i="40"/>
  <c r="H132" i="28"/>
  <c r="I132" i="28"/>
  <c r="B140" i="9"/>
  <c r="F140" i="9"/>
  <c r="F134" i="27"/>
  <c r="B134" i="27"/>
  <c r="F141" i="7"/>
  <c r="B141" i="7"/>
  <c r="F133" i="28"/>
  <c r="B133" i="28"/>
  <c r="I134" i="24"/>
  <c r="H134" i="24"/>
  <c r="H136" i="22"/>
  <c r="I136" i="22"/>
  <c r="H135" i="23"/>
  <c r="I135" i="23"/>
  <c r="G134" i="29"/>
  <c r="E135" i="29"/>
  <c r="D135" i="29"/>
  <c r="J130" i="42"/>
  <c r="J155" i="42" s="1"/>
  <c r="J133" i="29"/>
  <c r="E52" i="13"/>
  <c r="D52" i="13"/>
  <c r="G51" i="13"/>
  <c r="H51" i="13"/>
  <c r="D62" i="10"/>
  <c r="E62" i="10" s="1"/>
  <c r="G61" i="10"/>
  <c r="H61" i="10"/>
  <c r="I61" i="10" s="1"/>
  <c r="I59" i="4"/>
  <c r="D52" i="39"/>
  <c r="E52" i="39"/>
  <c r="I129" i="43"/>
  <c r="H129" i="43"/>
  <c r="G131" i="42"/>
  <c r="D132" i="42"/>
  <c r="H57" i="25"/>
  <c r="I57" i="25" s="1"/>
  <c r="D50" i="45"/>
  <c r="E50" i="45"/>
  <c r="B132" i="13"/>
  <c r="F132" i="13"/>
  <c r="D57" i="23"/>
  <c r="E57" i="23"/>
  <c r="D51" i="41"/>
  <c r="E51" i="41"/>
  <c r="G59" i="4"/>
  <c r="I129" i="45"/>
  <c r="H129" i="45"/>
  <c r="D60" i="3"/>
  <c r="E60" i="3" s="1"/>
  <c r="D60" i="5"/>
  <c r="E60" i="5" s="1"/>
  <c r="I133" i="31"/>
  <c r="H133" i="31"/>
  <c r="I55" i="27"/>
  <c r="F130" i="45"/>
  <c r="B130" i="45"/>
  <c r="B134" i="31"/>
  <c r="F134" i="31"/>
  <c r="B61" i="6"/>
  <c r="F61" i="6"/>
  <c r="I50" i="41"/>
  <c r="D51" i="43"/>
  <c r="E51" i="43"/>
  <c r="I56" i="23"/>
  <c r="H59" i="8"/>
  <c r="I59" i="8" s="1"/>
  <c r="E56" i="24"/>
  <c r="D56" i="24"/>
  <c r="I62" i="7"/>
  <c r="B53" i="31"/>
  <c r="H53" i="31"/>
  <c r="F53" i="31"/>
  <c r="G53" i="31" s="1"/>
  <c r="D63" i="9"/>
  <c r="E63" i="9" s="1"/>
  <c r="D58" i="22"/>
  <c r="E58" i="22"/>
  <c r="D54" i="28"/>
  <c r="E54" i="28"/>
  <c r="H59" i="3"/>
  <c r="I59" i="3" s="1"/>
  <c r="E131" i="39"/>
  <c r="D131" i="39"/>
  <c r="G130" i="39"/>
  <c r="I131" i="13"/>
  <c r="H131" i="13"/>
  <c r="G55" i="24"/>
  <c r="I55" i="24" s="1"/>
  <c r="J129" i="39"/>
  <c r="D63" i="7"/>
  <c r="D50" i="42"/>
  <c r="E50" i="42"/>
  <c r="I53" i="28"/>
  <c r="D60" i="4"/>
  <c r="E60" i="4"/>
  <c r="D56" i="27"/>
  <c r="E56" i="27"/>
  <c r="I50" i="38"/>
  <c r="E60" i="8"/>
  <c r="D60" i="8"/>
  <c r="I49" i="42"/>
  <c r="B55" i="29"/>
  <c r="F55" i="29"/>
  <c r="D53" i="30"/>
  <c r="E53" i="30"/>
  <c r="H51" i="39"/>
  <c r="D51" i="38"/>
  <c r="E51" i="38"/>
  <c r="G49" i="45"/>
  <c r="I49" i="45" s="1"/>
  <c r="D62" i="11"/>
  <c r="E62" i="11" s="1"/>
  <c r="H129" i="41"/>
  <c r="I129" i="41"/>
  <c r="I130" i="44"/>
  <c r="H130" i="44"/>
  <c r="I51" i="44"/>
  <c r="E52" i="44"/>
  <c r="D52" i="44"/>
  <c r="D58" i="25"/>
  <c r="E58" i="25"/>
  <c r="E61" i="6"/>
  <c r="E51" i="37"/>
  <c r="D51" i="37"/>
  <c r="E51" i="40"/>
  <c r="D51" i="40"/>
  <c r="H52" i="30"/>
  <c r="I52" i="30" s="1"/>
  <c r="G51" i="39"/>
  <c r="B130" i="41"/>
  <c r="F130" i="41"/>
  <c r="F130" i="43"/>
  <c r="B130" i="43"/>
  <c r="B131" i="44"/>
  <c r="F131" i="44"/>
  <c r="G137" i="25" l="1"/>
  <c r="D138" i="25"/>
  <c r="E138" i="25"/>
  <c r="E141" i="9"/>
  <c r="D141" i="9"/>
  <c r="G140" i="9"/>
  <c r="B131" i="38"/>
  <c r="F131" i="38"/>
  <c r="D141" i="11"/>
  <c r="E141" i="11"/>
  <c r="G140" i="11"/>
  <c r="J140" i="7"/>
  <c r="J133" i="27"/>
  <c r="J137" i="5"/>
  <c r="D140" i="8"/>
  <c r="G139" i="8"/>
  <c r="E140" i="8"/>
  <c r="E142" i="7"/>
  <c r="D142" i="7"/>
  <c r="G141" i="7"/>
  <c r="G138" i="5"/>
  <c r="D139" i="5"/>
  <c r="E139" i="5"/>
  <c r="E142" i="10"/>
  <c r="D142" i="10"/>
  <c r="G141" i="10"/>
  <c r="H130" i="38"/>
  <c r="I130" i="38"/>
  <c r="E131" i="37"/>
  <c r="D131" i="37"/>
  <c r="G130" i="37"/>
  <c r="E137" i="23"/>
  <c r="D137" i="23"/>
  <c r="G136" i="23"/>
  <c r="D138" i="22"/>
  <c r="E138" i="22"/>
  <c r="G137" i="22"/>
  <c r="E134" i="28"/>
  <c r="D134" i="28"/>
  <c r="G133" i="28"/>
  <c r="D135" i="27"/>
  <c r="G134" i="27"/>
  <c r="E135" i="27"/>
  <c r="D140" i="6"/>
  <c r="E140" i="6"/>
  <c r="G139" i="6"/>
  <c r="J133" i="31"/>
  <c r="J129" i="45"/>
  <c r="J132" i="28"/>
  <c r="E139" i="4"/>
  <c r="D139" i="4"/>
  <c r="G138" i="4"/>
  <c r="G138" i="3"/>
  <c r="D139" i="3"/>
  <c r="E139" i="3"/>
  <c r="G135" i="24"/>
  <c r="E136" i="24"/>
  <c r="D136" i="24"/>
  <c r="J131" i="30"/>
  <c r="J140" i="10"/>
  <c r="D131" i="40"/>
  <c r="E131" i="40"/>
  <c r="G130" i="40"/>
  <c r="G132" i="30"/>
  <c r="D133" i="30"/>
  <c r="E133" i="30"/>
  <c r="J129" i="37"/>
  <c r="B135" i="29"/>
  <c r="F135" i="29"/>
  <c r="I134" i="29"/>
  <c r="H134" i="29"/>
  <c r="J129" i="43"/>
  <c r="F51" i="40"/>
  <c r="B51" i="40"/>
  <c r="H51" i="40"/>
  <c r="G51" i="40"/>
  <c r="D56" i="29"/>
  <c r="E56" i="29"/>
  <c r="F50" i="42"/>
  <c r="G50" i="42"/>
  <c r="B50" i="42"/>
  <c r="B51" i="43"/>
  <c r="F51" i="43"/>
  <c r="F50" i="45"/>
  <c r="G50" i="45"/>
  <c r="H50" i="45"/>
  <c r="I50" i="45" s="1"/>
  <c r="B50" i="45"/>
  <c r="I53" i="31"/>
  <c r="D62" i="6"/>
  <c r="E62" i="6"/>
  <c r="D131" i="43"/>
  <c r="G130" i="43"/>
  <c r="E131" i="43"/>
  <c r="F52" i="44"/>
  <c r="G52" i="44" s="1"/>
  <c r="B52" i="44"/>
  <c r="F62" i="11"/>
  <c r="B62" i="11"/>
  <c r="I51" i="39"/>
  <c r="G55" i="29"/>
  <c r="B54" i="28"/>
  <c r="F54" i="28"/>
  <c r="G54" i="28" s="1"/>
  <c r="H54" i="28"/>
  <c r="H61" i="6"/>
  <c r="B60" i="3"/>
  <c r="F60" i="3"/>
  <c r="G60" i="3" s="1"/>
  <c r="H60" i="3"/>
  <c r="F51" i="37"/>
  <c r="H51" i="37" s="1"/>
  <c r="B51" i="37"/>
  <c r="F51" i="41"/>
  <c r="B51" i="41"/>
  <c r="G51" i="41"/>
  <c r="H51" i="41"/>
  <c r="I51" i="41" s="1"/>
  <c r="B132" i="42"/>
  <c r="B52" i="39"/>
  <c r="H52" i="39"/>
  <c r="I52" i="39" s="1"/>
  <c r="F52" i="39"/>
  <c r="G52" i="39"/>
  <c r="B62" i="10"/>
  <c r="F62" i="10"/>
  <c r="G62" i="10" s="1"/>
  <c r="H55" i="29"/>
  <c r="B56" i="27"/>
  <c r="F56" i="27"/>
  <c r="H58" i="22"/>
  <c r="G58" i="22"/>
  <c r="F58" i="22"/>
  <c r="B58" i="22"/>
  <c r="H56" i="24"/>
  <c r="G56" i="24"/>
  <c r="B56" i="24"/>
  <c r="F56" i="24"/>
  <c r="E132" i="42"/>
  <c r="F132" i="42" s="1"/>
  <c r="I51" i="13"/>
  <c r="B63" i="7"/>
  <c r="H130" i="39"/>
  <c r="I130" i="39"/>
  <c r="F63" i="9"/>
  <c r="G63" i="9" s="1"/>
  <c r="H63" i="9"/>
  <c r="B63" i="9"/>
  <c r="E135" i="31"/>
  <c r="G134" i="31"/>
  <c r="D135" i="31"/>
  <c r="B57" i="23"/>
  <c r="F57" i="23"/>
  <c r="G57" i="23" s="1"/>
  <c r="H131" i="42"/>
  <c r="I131" i="42"/>
  <c r="D131" i="45"/>
  <c r="E131" i="45" s="1"/>
  <c r="G130" i="45"/>
  <c r="J130" i="44"/>
  <c r="J155" i="44" s="1"/>
  <c r="F60" i="8"/>
  <c r="H60" i="8" s="1"/>
  <c r="I60" i="8" s="1"/>
  <c r="B60" i="8"/>
  <c r="G60" i="8"/>
  <c r="G60" i="4"/>
  <c r="B60" i="4"/>
  <c r="F60" i="4"/>
  <c r="E63" i="7"/>
  <c r="F63" i="7" s="1"/>
  <c r="B131" i="39"/>
  <c r="F131" i="39"/>
  <c r="G132" i="13"/>
  <c r="D133" i="13"/>
  <c r="E133" i="13" s="1"/>
  <c r="G52" i="13"/>
  <c r="H52" i="13"/>
  <c r="I52" i="13" s="1"/>
  <c r="F52" i="13"/>
  <c r="B52" i="13"/>
  <c r="F53" i="30"/>
  <c r="G53" i="30"/>
  <c r="B53" i="30"/>
  <c r="H53" i="30"/>
  <c r="I53" i="30" s="1"/>
  <c r="D131" i="41"/>
  <c r="G130" i="41"/>
  <c r="E131" i="41"/>
  <c r="D132" i="44"/>
  <c r="E132" i="44" s="1"/>
  <c r="G131" i="44"/>
  <c r="B58" i="25"/>
  <c r="F58" i="25"/>
  <c r="H58" i="25" s="1"/>
  <c r="J129" i="41"/>
  <c r="B51" i="38"/>
  <c r="F51" i="38"/>
  <c r="G51" i="38" s="1"/>
  <c r="D54" i="31"/>
  <c r="E54" i="31"/>
  <c r="G61" i="6"/>
  <c r="B60" i="5"/>
  <c r="F60" i="5"/>
  <c r="H60" i="5"/>
  <c r="J130" i="38" l="1"/>
  <c r="J155" i="38" s="1"/>
  <c r="I132" i="30"/>
  <c r="J132" i="30" s="1"/>
  <c r="H132" i="30"/>
  <c r="I135" i="24"/>
  <c r="H135" i="24"/>
  <c r="H138" i="4"/>
  <c r="I138" i="4"/>
  <c r="B140" i="6"/>
  <c r="F140" i="6"/>
  <c r="I133" i="28"/>
  <c r="J133" i="28" s="1"/>
  <c r="H133" i="28"/>
  <c r="B139" i="4"/>
  <c r="F139" i="4"/>
  <c r="F138" i="22"/>
  <c r="B138" i="22"/>
  <c r="H130" i="37"/>
  <c r="I130" i="37"/>
  <c r="J130" i="37" s="1"/>
  <c r="J155" i="37" s="1"/>
  <c r="F140" i="8"/>
  <c r="B140" i="8"/>
  <c r="I140" i="11"/>
  <c r="H140" i="11"/>
  <c r="F136" i="24"/>
  <c r="B136" i="24"/>
  <c r="F139" i="3"/>
  <c r="B139" i="3"/>
  <c r="H139" i="6"/>
  <c r="I139" i="6"/>
  <c r="J139" i="6" s="1"/>
  <c r="I134" i="27"/>
  <c r="H134" i="27"/>
  <c r="H136" i="23"/>
  <c r="I136" i="23"/>
  <c r="F131" i="37"/>
  <c r="B131" i="37"/>
  <c r="H141" i="10"/>
  <c r="I141" i="10"/>
  <c r="J141" i="10" s="1"/>
  <c r="F139" i="5"/>
  <c r="B139" i="5"/>
  <c r="I140" i="9"/>
  <c r="H140" i="9"/>
  <c r="B138" i="25"/>
  <c r="F138" i="25"/>
  <c r="I141" i="7"/>
  <c r="J141" i="7" s="1"/>
  <c r="H141" i="7"/>
  <c r="I139" i="8"/>
  <c r="H139" i="8"/>
  <c r="D132" i="38"/>
  <c r="E132" i="38"/>
  <c r="G131" i="38"/>
  <c r="H130" i="40"/>
  <c r="I130" i="40"/>
  <c r="F134" i="28"/>
  <c r="B134" i="28"/>
  <c r="B142" i="7"/>
  <c r="F142" i="7"/>
  <c r="B133" i="30"/>
  <c r="F133" i="30"/>
  <c r="B131" i="40"/>
  <c r="F131" i="40"/>
  <c r="I138" i="3"/>
  <c r="H138" i="3"/>
  <c r="F135" i="27"/>
  <c r="B135" i="27"/>
  <c r="H137" i="22"/>
  <c r="I137" i="22"/>
  <c r="B137" i="23"/>
  <c r="F137" i="23"/>
  <c r="F142" i="10"/>
  <c r="B142" i="10"/>
  <c r="I138" i="5"/>
  <c r="J138" i="5" s="1"/>
  <c r="H138" i="5"/>
  <c r="B141" i="11"/>
  <c r="F141" i="11"/>
  <c r="B141" i="9"/>
  <c r="F141" i="9"/>
  <c r="H137" i="25"/>
  <c r="I137" i="25"/>
  <c r="J134" i="29"/>
  <c r="D136" i="29"/>
  <c r="E136" i="29"/>
  <c r="G135" i="29"/>
  <c r="D64" i="7"/>
  <c r="E64" i="7" s="1"/>
  <c r="H63" i="7"/>
  <c r="G63" i="7"/>
  <c r="D133" i="42"/>
  <c r="E133" i="42" s="1"/>
  <c r="G132" i="42"/>
  <c r="H130" i="41"/>
  <c r="I130" i="41"/>
  <c r="I63" i="9"/>
  <c r="D57" i="27"/>
  <c r="E57" i="27" s="1"/>
  <c r="F62" i="6"/>
  <c r="B62" i="6"/>
  <c r="J130" i="39"/>
  <c r="J155" i="39" s="1"/>
  <c r="G56" i="27"/>
  <c r="H62" i="10"/>
  <c r="I62" i="10" s="1"/>
  <c r="H52" i="44"/>
  <c r="I52" i="44" s="1"/>
  <c r="D51" i="45"/>
  <c r="E51" i="45"/>
  <c r="E51" i="42"/>
  <c r="D51" i="42"/>
  <c r="F131" i="41"/>
  <c r="B131" i="41"/>
  <c r="B54" i="31"/>
  <c r="F54" i="31"/>
  <c r="H54" i="31"/>
  <c r="G58" i="25"/>
  <c r="I58" i="25" s="1"/>
  <c r="D132" i="39"/>
  <c r="E132" i="39"/>
  <c r="G131" i="39"/>
  <c r="F133" i="13"/>
  <c r="B133" i="13"/>
  <c r="I130" i="45"/>
  <c r="H130" i="45"/>
  <c r="F135" i="31"/>
  <c r="B135" i="31"/>
  <c r="D59" i="22"/>
  <c r="D52" i="43"/>
  <c r="E52" i="43"/>
  <c r="I51" i="40"/>
  <c r="E59" i="25"/>
  <c r="D59" i="25"/>
  <c r="D63" i="11"/>
  <c r="E63" i="11" s="1"/>
  <c r="H132" i="13"/>
  <c r="I132" i="13"/>
  <c r="D61" i="8"/>
  <c r="E61" i="8"/>
  <c r="F131" i="45"/>
  <c r="B131" i="45"/>
  <c r="I134" i="31"/>
  <c r="H134" i="31"/>
  <c r="I55" i="29"/>
  <c r="D63" i="10"/>
  <c r="D53" i="44"/>
  <c r="E53" i="44"/>
  <c r="F56" i="29"/>
  <c r="H56" i="29" s="1"/>
  <c r="I56" i="29" s="1"/>
  <c r="B56" i="29"/>
  <c r="G56" i="29"/>
  <c r="I56" i="24"/>
  <c r="I61" i="6"/>
  <c r="D61" i="5"/>
  <c r="E61" i="5" s="1"/>
  <c r="D54" i="30"/>
  <c r="E54" i="30"/>
  <c r="D61" i="4"/>
  <c r="E61" i="4" s="1"/>
  <c r="I58" i="22"/>
  <c r="I60" i="3"/>
  <c r="I54" i="28"/>
  <c r="G51" i="43"/>
  <c r="D52" i="40"/>
  <c r="E52" i="40"/>
  <c r="D58" i="23"/>
  <c r="E58" i="23" s="1"/>
  <c r="H56" i="27"/>
  <c r="I56" i="27" s="1"/>
  <c r="D52" i="37"/>
  <c r="E52" i="37"/>
  <c r="D52" i="38"/>
  <c r="E52" i="38"/>
  <c r="H51" i="38"/>
  <c r="I51" i="38" s="1"/>
  <c r="F132" i="44"/>
  <c r="B132" i="44"/>
  <c r="H60" i="4"/>
  <c r="I60" i="4" s="1"/>
  <c r="D57" i="24"/>
  <c r="E57" i="24"/>
  <c r="H62" i="11"/>
  <c r="I130" i="43"/>
  <c r="H130" i="43"/>
  <c r="H51" i="43"/>
  <c r="D64" i="9"/>
  <c r="E64" i="9"/>
  <c r="H131" i="44"/>
  <c r="I131" i="44"/>
  <c r="G60" i="5"/>
  <c r="D53" i="13"/>
  <c r="H57" i="23"/>
  <c r="I57" i="23" s="1"/>
  <c r="D53" i="39"/>
  <c r="E53" i="39"/>
  <c r="D52" i="41"/>
  <c r="E52" i="41"/>
  <c r="G51" i="37"/>
  <c r="I51" i="37" s="1"/>
  <c r="D61" i="3"/>
  <c r="E61" i="3"/>
  <c r="E55" i="28"/>
  <c r="D55" i="28"/>
  <c r="G62" i="11"/>
  <c r="B131" i="43"/>
  <c r="F131" i="43"/>
  <c r="H50" i="42"/>
  <c r="I50" i="42" s="1"/>
  <c r="E136" i="27" l="1"/>
  <c r="D136" i="27"/>
  <c r="G135" i="27"/>
  <c r="J130" i="45"/>
  <c r="J155" i="45" s="1"/>
  <c r="E142" i="11"/>
  <c r="D142" i="11"/>
  <c r="G141" i="11"/>
  <c r="H131" i="38"/>
  <c r="I131" i="38"/>
  <c r="J134" i="27"/>
  <c r="D143" i="10"/>
  <c r="G142" i="10"/>
  <c r="E143" i="10"/>
  <c r="J138" i="3"/>
  <c r="G134" i="28"/>
  <c r="E135" i="28"/>
  <c r="D135" i="28"/>
  <c r="J138" i="4"/>
  <c r="G138" i="25"/>
  <c r="D139" i="25"/>
  <c r="E139" i="25"/>
  <c r="D140" i="4"/>
  <c r="G139" i="4"/>
  <c r="E140" i="4"/>
  <c r="D141" i="6"/>
  <c r="E141" i="6"/>
  <c r="G140" i="6"/>
  <c r="E134" i="30"/>
  <c r="G133" i="30"/>
  <c r="D134" i="30"/>
  <c r="J139" i="8"/>
  <c r="D140" i="5"/>
  <c r="E140" i="5"/>
  <c r="G139" i="5"/>
  <c r="G131" i="37"/>
  <c r="D132" i="37"/>
  <c r="E132" i="37"/>
  <c r="D140" i="3"/>
  <c r="G139" i="3"/>
  <c r="E140" i="3"/>
  <c r="D142" i="9"/>
  <c r="E142" i="9"/>
  <c r="G141" i="9"/>
  <c r="D138" i="23"/>
  <c r="E138" i="23"/>
  <c r="G137" i="23"/>
  <c r="D132" i="40"/>
  <c r="E132" i="40"/>
  <c r="G131" i="40"/>
  <c r="E143" i="7"/>
  <c r="G142" i="7"/>
  <c r="D143" i="7"/>
  <c r="J130" i="40"/>
  <c r="J155" i="40" s="1"/>
  <c r="F132" i="38"/>
  <c r="B132" i="38"/>
  <c r="G136" i="24"/>
  <c r="D137" i="24"/>
  <c r="E137" i="24"/>
  <c r="E141" i="8"/>
  <c r="D141" i="8"/>
  <c r="G140" i="8"/>
  <c r="G138" i="22"/>
  <c r="E139" i="22"/>
  <c r="D139" i="22"/>
  <c r="J134" i="31"/>
  <c r="I135" i="29"/>
  <c r="H135" i="29"/>
  <c r="J130" i="41"/>
  <c r="J155" i="41" s="1"/>
  <c r="B136" i="29"/>
  <c r="F136" i="29"/>
  <c r="B63" i="10"/>
  <c r="B53" i="13"/>
  <c r="F53" i="13"/>
  <c r="G53" i="13"/>
  <c r="H53" i="13"/>
  <c r="I53" i="13" s="1"/>
  <c r="B54" i="30"/>
  <c r="F54" i="30"/>
  <c r="H54" i="30" s="1"/>
  <c r="I54" i="30" s="1"/>
  <c r="G54" i="30"/>
  <c r="E53" i="13"/>
  <c r="F52" i="40"/>
  <c r="G52" i="40"/>
  <c r="B52" i="40"/>
  <c r="F59" i="25"/>
  <c r="G59" i="25"/>
  <c r="H59" i="25"/>
  <c r="I59" i="25" s="1"/>
  <c r="B59" i="25"/>
  <c r="G133" i="13"/>
  <c r="D134" i="13"/>
  <c r="B52" i="41"/>
  <c r="H52" i="41"/>
  <c r="F52" i="41"/>
  <c r="G52" i="41" s="1"/>
  <c r="F52" i="37"/>
  <c r="H52" i="37"/>
  <c r="I52" i="37" s="1"/>
  <c r="G52" i="37"/>
  <c r="B52" i="37"/>
  <c r="G55" i="28"/>
  <c r="B55" i="28"/>
  <c r="F55" i="28"/>
  <c r="H55" i="28" s="1"/>
  <c r="I55" i="28" s="1"/>
  <c r="B61" i="5"/>
  <c r="F61" i="5"/>
  <c r="B53" i="44"/>
  <c r="G53" i="44"/>
  <c r="H53" i="44"/>
  <c r="F53" i="44"/>
  <c r="H131" i="39"/>
  <c r="I131" i="39"/>
  <c r="D132" i="41"/>
  <c r="G131" i="41"/>
  <c r="E132" i="41"/>
  <c r="G57" i="27"/>
  <c r="F57" i="27"/>
  <c r="H57" i="27"/>
  <c r="I57" i="27" s="1"/>
  <c r="B57" i="27"/>
  <c r="I63" i="7"/>
  <c r="D63" i="6"/>
  <c r="E63" i="6"/>
  <c r="B61" i="8"/>
  <c r="F61" i="8"/>
  <c r="H61" i="8" s="1"/>
  <c r="F133" i="42"/>
  <c r="B133" i="42"/>
  <c r="B59" i="22"/>
  <c r="I51" i="43"/>
  <c r="D133" i="44"/>
  <c r="G132" i="44"/>
  <c r="E59" i="22"/>
  <c r="F59" i="22" s="1"/>
  <c r="F51" i="42"/>
  <c r="G51" i="42" s="1"/>
  <c r="B51" i="42"/>
  <c r="H51" i="42"/>
  <c r="B57" i="24"/>
  <c r="G57" i="24"/>
  <c r="F57" i="24"/>
  <c r="H57" i="24" s="1"/>
  <c r="I57" i="24" s="1"/>
  <c r="B132" i="39"/>
  <c r="F132" i="39"/>
  <c r="F64" i="7"/>
  <c r="H64" i="7"/>
  <c r="I64" i="7" s="1"/>
  <c r="B64" i="7"/>
  <c r="G64" i="7"/>
  <c r="F64" i="9"/>
  <c r="G64" i="9" s="1"/>
  <c r="B64" i="9"/>
  <c r="H64" i="9"/>
  <c r="G61" i="3"/>
  <c r="H61" i="3"/>
  <c r="I61" i="3" s="1"/>
  <c r="B61" i="3"/>
  <c r="F61" i="3"/>
  <c r="J130" i="43"/>
  <c r="J155" i="43" s="1"/>
  <c r="B52" i="43"/>
  <c r="F52" i="43"/>
  <c r="H52" i="43"/>
  <c r="D136" i="31"/>
  <c r="G135" i="31"/>
  <c r="E136" i="31"/>
  <c r="G131" i="43"/>
  <c r="D132" i="43"/>
  <c r="E132" i="43"/>
  <c r="I54" i="31"/>
  <c r="D55" i="31"/>
  <c r="E55" i="31"/>
  <c r="H62" i="6"/>
  <c r="I62" i="6" s="1"/>
  <c r="F53" i="39"/>
  <c r="G53" i="39"/>
  <c r="B53" i="39"/>
  <c r="H53" i="39"/>
  <c r="I53" i="39" s="1"/>
  <c r="F58" i="23"/>
  <c r="G58" i="23" s="1"/>
  <c r="B58" i="23"/>
  <c r="H58" i="23"/>
  <c r="I62" i="11"/>
  <c r="G52" i="38"/>
  <c r="F52" i="38"/>
  <c r="H52" i="38"/>
  <c r="I52" i="38" s="1"/>
  <c r="B52" i="38"/>
  <c r="F61" i="4"/>
  <c r="H61" i="4" s="1"/>
  <c r="I61" i="4" s="1"/>
  <c r="G61" i="4"/>
  <c r="B61" i="4"/>
  <c r="E57" i="29"/>
  <c r="D57" i="29"/>
  <c r="E63" i="10"/>
  <c r="F63" i="10" s="1"/>
  <c r="G131" i="45"/>
  <c r="D132" i="45"/>
  <c r="E132" i="45" s="1"/>
  <c r="F63" i="11"/>
  <c r="H63" i="11"/>
  <c r="G63" i="11"/>
  <c r="B63" i="11"/>
  <c r="G54" i="31"/>
  <c r="F51" i="45"/>
  <c r="G51" i="45" s="1"/>
  <c r="B51" i="45"/>
  <c r="G62" i="6"/>
  <c r="I132" i="42"/>
  <c r="H132" i="42"/>
  <c r="B139" i="22" l="1"/>
  <c r="F139" i="22"/>
  <c r="B141" i="8"/>
  <c r="F141" i="8"/>
  <c r="H136" i="24"/>
  <c r="I136" i="24"/>
  <c r="F143" i="7"/>
  <c r="B143" i="7"/>
  <c r="B138" i="23"/>
  <c r="F138" i="23"/>
  <c r="B132" i="37"/>
  <c r="F132" i="37"/>
  <c r="B140" i="5"/>
  <c r="F140" i="5"/>
  <c r="B139" i="25"/>
  <c r="F139" i="25"/>
  <c r="H142" i="10"/>
  <c r="I142" i="10"/>
  <c r="H142" i="7"/>
  <c r="I142" i="7"/>
  <c r="F132" i="40"/>
  <c r="B132" i="40"/>
  <c r="H141" i="9"/>
  <c r="I141" i="9"/>
  <c r="H139" i="3"/>
  <c r="I139" i="3"/>
  <c r="I131" i="37"/>
  <c r="H131" i="37"/>
  <c r="I140" i="6"/>
  <c r="J140" i="6" s="1"/>
  <c r="H140" i="6"/>
  <c r="I139" i="4"/>
  <c r="J139" i="4" s="1"/>
  <c r="H139" i="4"/>
  <c r="H138" i="25"/>
  <c r="I138" i="25"/>
  <c r="I134" i="28"/>
  <c r="J134" i="28" s="1"/>
  <c r="H134" i="28"/>
  <c r="F143" i="10"/>
  <c r="B143" i="10"/>
  <c r="H141" i="11"/>
  <c r="I141" i="11"/>
  <c r="H135" i="27"/>
  <c r="I135" i="27"/>
  <c r="H138" i="22"/>
  <c r="I138" i="22"/>
  <c r="G132" i="38"/>
  <c r="D133" i="38"/>
  <c r="E133" i="38"/>
  <c r="I137" i="23"/>
  <c r="H137" i="23"/>
  <c r="F140" i="3"/>
  <c r="B140" i="3"/>
  <c r="H139" i="5"/>
  <c r="I139" i="5"/>
  <c r="J139" i="5" s="1"/>
  <c r="B134" i="30"/>
  <c r="F134" i="30"/>
  <c r="F140" i="4"/>
  <c r="B140" i="4"/>
  <c r="B142" i="11"/>
  <c r="F142" i="11"/>
  <c r="F136" i="27"/>
  <c r="B136" i="27"/>
  <c r="H140" i="8"/>
  <c r="I140" i="8"/>
  <c r="B137" i="24"/>
  <c r="F137" i="24"/>
  <c r="I131" i="40"/>
  <c r="H131" i="40"/>
  <c r="B142" i="9"/>
  <c r="F142" i="9"/>
  <c r="H133" i="30"/>
  <c r="I133" i="30"/>
  <c r="F141" i="6"/>
  <c r="B141" i="6"/>
  <c r="B135" i="28"/>
  <c r="F135" i="28"/>
  <c r="E137" i="29"/>
  <c r="G136" i="29"/>
  <c r="D137" i="29"/>
  <c r="J135" i="29"/>
  <c r="D60" i="22"/>
  <c r="G59" i="22"/>
  <c r="H59" i="22"/>
  <c r="I59" i="22" s="1"/>
  <c r="D64" i="10"/>
  <c r="E64" i="10"/>
  <c r="G63" i="10"/>
  <c r="H63" i="10"/>
  <c r="B133" i="44"/>
  <c r="F57" i="29"/>
  <c r="H57" i="29" s="1"/>
  <c r="I57" i="29" s="1"/>
  <c r="G57" i="29"/>
  <c r="B57" i="29"/>
  <c r="B55" i="31"/>
  <c r="F55" i="31"/>
  <c r="H55" i="31"/>
  <c r="B132" i="43"/>
  <c r="F132" i="43"/>
  <c r="G61" i="8"/>
  <c r="I61" i="8" s="1"/>
  <c r="I131" i="41"/>
  <c r="H131" i="41"/>
  <c r="D62" i="5"/>
  <c r="E62" i="5" s="1"/>
  <c r="D60" i="25"/>
  <c r="E60" i="25"/>
  <c r="D53" i="40"/>
  <c r="E53" i="40"/>
  <c r="D54" i="13"/>
  <c r="E54" i="13"/>
  <c r="I52" i="41"/>
  <c r="G133" i="42"/>
  <c r="D134" i="42"/>
  <c r="E134" i="42" s="1"/>
  <c r="F132" i="41"/>
  <c r="B132" i="41"/>
  <c r="H61" i="5"/>
  <c r="H52" i="40"/>
  <c r="I52" i="40" s="1"/>
  <c r="I131" i="45"/>
  <c r="H131" i="45"/>
  <c r="D62" i="8"/>
  <c r="E62" i="8"/>
  <c r="B134" i="13"/>
  <c r="E133" i="39"/>
  <c r="D133" i="39"/>
  <c r="G132" i="39"/>
  <c r="G63" i="6"/>
  <c r="F63" i="6"/>
  <c r="H63" i="6" s="1"/>
  <c r="I63" i="6" s="1"/>
  <c r="B63" i="6"/>
  <c r="H51" i="45"/>
  <c r="I51" i="45" s="1"/>
  <c r="I64" i="9"/>
  <c r="I51" i="42"/>
  <c r="D64" i="11"/>
  <c r="E64" i="11" s="1"/>
  <c r="D53" i="38"/>
  <c r="E53" i="38"/>
  <c r="H135" i="31"/>
  <c r="I135" i="31"/>
  <c r="D65" i="7"/>
  <c r="E65" i="7"/>
  <c r="D58" i="27"/>
  <c r="E58" i="27"/>
  <c r="G61" i="5"/>
  <c r="D53" i="37"/>
  <c r="E53" i="37"/>
  <c r="H133" i="13"/>
  <c r="I133" i="13"/>
  <c r="I58" i="23"/>
  <c r="D52" i="45"/>
  <c r="E52" i="45"/>
  <c r="B136" i="31"/>
  <c r="F136" i="31"/>
  <c r="E58" i="24"/>
  <c r="D58" i="24"/>
  <c r="H132" i="44"/>
  <c r="I132" i="44"/>
  <c r="D54" i="44"/>
  <c r="E54" i="44"/>
  <c r="E134" i="13"/>
  <c r="F134" i="13" s="1"/>
  <c r="E55" i="30"/>
  <c r="D55" i="30"/>
  <c r="D53" i="43"/>
  <c r="E53" i="43"/>
  <c r="E59" i="23"/>
  <c r="D59" i="23"/>
  <c r="H131" i="43"/>
  <c r="I131" i="43"/>
  <c r="I63" i="11"/>
  <c r="B132" i="45"/>
  <c r="F132" i="45"/>
  <c r="D62" i="4"/>
  <c r="E62" i="4"/>
  <c r="D54" i="39"/>
  <c r="E54" i="39"/>
  <c r="G52" i="43"/>
  <c r="I52" i="43" s="1"/>
  <c r="D62" i="3"/>
  <c r="E62" i="3"/>
  <c r="D65" i="9"/>
  <c r="E65" i="9"/>
  <c r="D52" i="42"/>
  <c r="E52" i="42"/>
  <c r="E133" i="44"/>
  <c r="F133" i="44" s="1"/>
  <c r="I53" i="44"/>
  <c r="D56" i="28"/>
  <c r="E56" i="28"/>
  <c r="D53" i="41"/>
  <c r="E53" i="41"/>
  <c r="E142" i="6" l="1"/>
  <c r="G141" i="6"/>
  <c r="D142" i="6"/>
  <c r="D137" i="27"/>
  <c r="G136" i="27"/>
  <c r="E137" i="27"/>
  <c r="D141" i="4"/>
  <c r="E141" i="4"/>
  <c r="G140" i="4"/>
  <c r="J142" i="7"/>
  <c r="G139" i="25"/>
  <c r="E140" i="25"/>
  <c r="D140" i="25"/>
  <c r="E133" i="37"/>
  <c r="G132" i="37"/>
  <c r="D133" i="37"/>
  <c r="D142" i="8"/>
  <c r="E142" i="8"/>
  <c r="G141" i="8"/>
  <c r="E136" i="28"/>
  <c r="G135" i="28"/>
  <c r="D136" i="28"/>
  <c r="J133" i="30"/>
  <c r="J140" i="8"/>
  <c r="E143" i="11"/>
  <c r="G142" i="11"/>
  <c r="D143" i="11"/>
  <c r="E135" i="30"/>
  <c r="D135" i="30"/>
  <c r="G134" i="30"/>
  <c r="D144" i="7"/>
  <c r="G143" i="7"/>
  <c r="E144" i="7"/>
  <c r="G140" i="3"/>
  <c r="D141" i="3"/>
  <c r="E141" i="3"/>
  <c r="B133" i="38"/>
  <c r="F133" i="38"/>
  <c r="J135" i="27"/>
  <c r="J139" i="3"/>
  <c r="J142" i="10"/>
  <c r="G140" i="5"/>
  <c r="D141" i="5"/>
  <c r="E141" i="5"/>
  <c r="G138" i="23"/>
  <c r="D139" i="23"/>
  <c r="E139" i="23"/>
  <c r="G139" i="22"/>
  <c r="E140" i="22"/>
  <c r="D140" i="22"/>
  <c r="E143" i="9"/>
  <c r="G142" i="9"/>
  <c r="D143" i="9"/>
  <c r="E138" i="24"/>
  <c r="G137" i="24"/>
  <c r="D138" i="24"/>
  <c r="H132" i="38"/>
  <c r="I132" i="38"/>
  <c r="G143" i="10"/>
  <c r="D144" i="10"/>
  <c r="E144" i="10"/>
  <c r="G132" i="40"/>
  <c r="D133" i="40"/>
  <c r="E133" i="40"/>
  <c r="B137" i="29"/>
  <c r="F137" i="29"/>
  <c r="H136" i="29"/>
  <c r="I136" i="29"/>
  <c r="J135" i="31"/>
  <c r="D134" i="44"/>
  <c r="E134" i="44"/>
  <c r="G133" i="44"/>
  <c r="E137" i="31"/>
  <c r="D137" i="31"/>
  <c r="G136" i="31"/>
  <c r="B53" i="41"/>
  <c r="F53" i="41"/>
  <c r="G53" i="41" s="1"/>
  <c r="B54" i="39"/>
  <c r="F54" i="39"/>
  <c r="F65" i="7"/>
  <c r="H65" i="7"/>
  <c r="B65" i="7"/>
  <c r="I133" i="42"/>
  <c r="H133" i="42"/>
  <c r="F64" i="10"/>
  <c r="H64" i="10" s="1"/>
  <c r="B64" i="10"/>
  <c r="B54" i="13"/>
  <c r="F54" i="13"/>
  <c r="H54" i="13" s="1"/>
  <c r="F65" i="9"/>
  <c r="B65" i="9"/>
  <c r="G53" i="37"/>
  <c r="B53" i="37"/>
  <c r="F53" i="37"/>
  <c r="H53" i="37"/>
  <c r="B53" i="38"/>
  <c r="F53" i="38"/>
  <c r="H53" i="38"/>
  <c r="D64" i="6"/>
  <c r="E64" i="6"/>
  <c r="G132" i="43"/>
  <c r="D133" i="43"/>
  <c r="E133" i="43"/>
  <c r="G53" i="43"/>
  <c r="F53" i="43"/>
  <c r="B53" i="43"/>
  <c r="B58" i="24"/>
  <c r="F58" i="24"/>
  <c r="H58" i="24" s="1"/>
  <c r="I58" i="24" s="1"/>
  <c r="G58" i="24"/>
  <c r="D135" i="13"/>
  <c r="G134" i="13"/>
  <c r="G132" i="41"/>
  <c r="D133" i="41"/>
  <c r="E133" i="41"/>
  <c r="B62" i="5"/>
  <c r="F62" i="5"/>
  <c r="D58" i="29"/>
  <c r="E58" i="29" s="1"/>
  <c r="H52" i="45"/>
  <c r="B52" i="45"/>
  <c r="G52" i="45"/>
  <c r="F52" i="45"/>
  <c r="F64" i="11"/>
  <c r="H64" i="11" s="1"/>
  <c r="B64" i="11"/>
  <c r="H132" i="39"/>
  <c r="I132" i="39"/>
  <c r="B53" i="40"/>
  <c r="G53" i="40"/>
  <c r="F53" i="40"/>
  <c r="H53" i="40"/>
  <c r="I53" i="40" s="1"/>
  <c r="I55" i="31"/>
  <c r="B60" i="22"/>
  <c r="F52" i="42"/>
  <c r="G52" i="42" s="1"/>
  <c r="H52" i="42"/>
  <c r="B52" i="42"/>
  <c r="B134" i="42"/>
  <c r="F134" i="42"/>
  <c r="B55" i="30"/>
  <c r="F55" i="30"/>
  <c r="H55" i="30" s="1"/>
  <c r="I55" i="30" s="1"/>
  <c r="G55" i="30"/>
  <c r="F62" i="4"/>
  <c r="H62" i="4" s="1"/>
  <c r="I62" i="4" s="1"/>
  <c r="B62" i="4"/>
  <c r="G62" i="4"/>
  <c r="G58" i="27"/>
  <c r="F58" i="27"/>
  <c r="B58" i="27"/>
  <c r="F133" i="39"/>
  <c r="B133" i="39"/>
  <c r="F62" i="8"/>
  <c r="H62" i="8" s="1"/>
  <c r="B62" i="8"/>
  <c r="D56" i="31"/>
  <c r="E56" i="31"/>
  <c r="E60" i="22"/>
  <c r="F60" i="22" s="1"/>
  <c r="F54" i="44"/>
  <c r="H54" i="44"/>
  <c r="B54" i="44"/>
  <c r="G54" i="44"/>
  <c r="F56" i="28"/>
  <c r="G56" i="28"/>
  <c r="B56" i="28"/>
  <c r="H56" i="28"/>
  <c r="I56" i="28" s="1"/>
  <c r="B62" i="3"/>
  <c r="F62" i="3"/>
  <c r="H62" i="3" s="1"/>
  <c r="I62" i="3" s="1"/>
  <c r="G62" i="3"/>
  <c r="D133" i="45"/>
  <c r="E133" i="45" s="1"/>
  <c r="G132" i="45"/>
  <c r="B59" i="23"/>
  <c r="F59" i="23"/>
  <c r="H59" i="23"/>
  <c r="I59" i="23" s="1"/>
  <c r="G59" i="23"/>
  <c r="B60" i="25"/>
  <c r="F60" i="25"/>
  <c r="H60" i="25" s="1"/>
  <c r="G55" i="31"/>
  <c r="I63" i="10"/>
  <c r="B144" i="10" l="1"/>
  <c r="F144" i="10"/>
  <c r="F138" i="24"/>
  <c r="B138" i="24"/>
  <c r="H142" i="9"/>
  <c r="I142" i="9"/>
  <c r="I139" i="22"/>
  <c r="H139" i="22"/>
  <c r="I143" i="7"/>
  <c r="J143" i="7" s="1"/>
  <c r="H143" i="7"/>
  <c r="F133" i="37"/>
  <c r="B133" i="37"/>
  <c r="F137" i="27"/>
  <c r="B137" i="27"/>
  <c r="B133" i="40"/>
  <c r="F133" i="40"/>
  <c r="H143" i="10"/>
  <c r="I143" i="10"/>
  <c r="I137" i="24"/>
  <c r="H137" i="24"/>
  <c r="F141" i="5"/>
  <c r="B141" i="5"/>
  <c r="B141" i="3"/>
  <c r="F141" i="3"/>
  <c r="F144" i="7"/>
  <c r="B144" i="7"/>
  <c r="F143" i="11"/>
  <c r="B143" i="11"/>
  <c r="H141" i="8"/>
  <c r="I141" i="8"/>
  <c r="I132" i="37"/>
  <c r="H132" i="37"/>
  <c r="I139" i="25"/>
  <c r="H139" i="25"/>
  <c r="B141" i="4"/>
  <c r="F141" i="4"/>
  <c r="F142" i="6"/>
  <c r="B142" i="6"/>
  <c r="J136" i="29"/>
  <c r="I132" i="40"/>
  <c r="H132" i="40"/>
  <c r="B140" i="22"/>
  <c r="F140" i="22"/>
  <c r="B139" i="23"/>
  <c r="F139" i="23"/>
  <c r="I140" i="5"/>
  <c r="J140" i="5" s="1"/>
  <c r="H140" i="5"/>
  <c r="G133" i="38"/>
  <c r="E134" i="38"/>
  <c r="D134" i="38"/>
  <c r="H140" i="3"/>
  <c r="I140" i="3"/>
  <c r="J140" i="3" s="1"/>
  <c r="I134" i="30"/>
  <c r="H134" i="30"/>
  <c r="I142" i="11"/>
  <c r="H142" i="11"/>
  <c r="B136" i="28"/>
  <c r="F136" i="28"/>
  <c r="H141" i="6"/>
  <c r="I141" i="6"/>
  <c r="J141" i="6" s="1"/>
  <c r="B143" i="9"/>
  <c r="F143" i="9"/>
  <c r="I138" i="23"/>
  <c r="H138" i="23"/>
  <c r="F135" i="30"/>
  <c r="B135" i="30"/>
  <c r="H135" i="28"/>
  <c r="I135" i="28"/>
  <c r="J135" i="28" s="1"/>
  <c r="B142" i="8"/>
  <c r="F142" i="8"/>
  <c r="F140" i="25"/>
  <c r="B140" i="25"/>
  <c r="H140" i="4"/>
  <c r="I140" i="4"/>
  <c r="I136" i="27"/>
  <c r="H136" i="27"/>
  <c r="D138" i="29"/>
  <c r="E138" i="29"/>
  <c r="G137" i="29"/>
  <c r="D61" i="22"/>
  <c r="H60" i="22"/>
  <c r="I60" i="22" s="1"/>
  <c r="G60" i="22"/>
  <c r="I60" i="25"/>
  <c r="I54" i="13"/>
  <c r="G54" i="13"/>
  <c r="D54" i="40"/>
  <c r="E54" i="40"/>
  <c r="H53" i="41"/>
  <c r="I53" i="41" s="1"/>
  <c r="F137" i="31"/>
  <c r="B137" i="31"/>
  <c r="I52" i="45"/>
  <c r="D59" i="24"/>
  <c r="H136" i="31"/>
  <c r="I136" i="31"/>
  <c r="D65" i="11"/>
  <c r="E65" i="11"/>
  <c r="B58" i="29"/>
  <c r="F58" i="29"/>
  <c r="H58" i="29"/>
  <c r="B133" i="41"/>
  <c r="F133" i="41"/>
  <c r="B133" i="43"/>
  <c r="F133" i="43"/>
  <c r="B64" i="6"/>
  <c r="F64" i="6"/>
  <c r="H64" i="6"/>
  <c r="G64" i="6"/>
  <c r="D55" i="39"/>
  <c r="E55" i="39"/>
  <c r="D66" i="9"/>
  <c r="E66" i="9"/>
  <c r="D54" i="38"/>
  <c r="E54" i="38"/>
  <c r="H132" i="45"/>
  <c r="I132" i="45"/>
  <c r="E56" i="30"/>
  <c r="D56" i="30"/>
  <c r="B133" i="45"/>
  <c r="F133" i="45"/>
  <c r="D53" i="42"/>
  <c r="E53" i="42"/>
  <c r="D59" i="27"/>
  <c r="E59" i="27"/>
  <c r="D135" i="42"/>
  <c r="G134" i="42"/>
  <c r="G64" i="11"/>
  <c r="I64" i="11" s="1"/>
  <c r="D63" i="5"/>
  <c r="E63" i="5"/>
  <c r="I132" i="41"/>
  <c r="H132" i="41"/>
  <c r="I132" i="43"/>
  <c r="H132" i="43"/>
  <c r="I53" i="37"/>
  <c r="H65" i="9"/>
  <c r="H133" i="44"/>
  <c r="I133" i="44"/>
  <c r="B135" i="13"/>
  <c r="D65" i="10"/>
  <c r="D55" i="13"/>
  <c r="E55" i="13"/>
  <c r="I52" i="42"/>
  <c r="I54" i="44"/>
  <c r="D61" i="25"/>
  <c r="E61" i="25"/>
  <c r="D55" i="44"/>
  <c r="E55" i="44"/>
  <c r="D63" i="8"/>
  <c r="E63" i="8" s="1"/>
  <c r="G60" i="25"/>
  <c r="D63" i="3"/>
  <c r="E63" i="3"/>
  <c r="G62" i="8"/>
  <c r="I62" i="8" s="1"/>
  <c r="D63" i="4"/>
  <c r="E63" i="4" s="1"/>
  <c r="H62" i="5"/>
  <c r="H134" i="13"/>
  <c r="I134" i="13"/>
  <c r="D54" i="43"/>
  <c r="E54" i="43"/>
  <c r="D54" i="37"/>
  <c r="E54" i="37"/>
  <c r="D66" i="7"/>
  <c r="E66" i="7"/>
  <c r="H54" i="39"/>
  <c r="I54" i="39" s="1"/>
  <c r="D134" i="39"/>
  <c r="G133" i="39"/>
  <c r="E134" i="39"/>
  <c r="D54" i="41"/>
  <c r="E54" i="41"/>
  <c r="D60" i="23"/>
  <c r="E60" i="23" s="1"/>
  <c r="D57" i="28"/>
  <c r="E57" i="28"/>
  <c r="F56" i="31"/>
  <c r="G56" i="31" s="1"/>
  <c r="H56" i="31"/>
  <c r="B56" i="31"/>
  <c r="H58" i="27"/>
  <c r="I58" i="27" s="1"/>
  <c r="D53" i="45"/>
  <c r="E53" i="45"/>
  <c r="G62" i="5"/>
  <c r="E135" i="13"/>
  <c r="F135" i="13" s="1"/>
  <c r="H53" i="43"/>
  <c r="I53" i="43" s="1"/>
  <c r="G53" i="38"/>
  <c r="I53" i="38" s="1"/>
  <c r="G65" i="9"/>
  <c r="G64" i="10"/>
  <c r="I64" i="10" s="1"/>
  <c r="G65" i="7"/>
  <c r="I65" i="7" s="1"/>
  <c r="G54" i="39"/>
  <c r="F134" i="44"/>
  <c r="B134" i="44"/>
  <c r="I133" i="38" l="1"/>
  <c r="H133" i="38"/>
  <c r="G141" i="4"/>
  <c r="D142" i="4"/>
  <c r="E142" i="4"/>
  <c r="E142" i="3"/>
  <c r="D142" i="3"/>
  <c r="G141" i="3"/>
  <c r="D134" i="40"/>
  <c r="E134" i="40"/>
  <c r="G133" i="40"/>
  <c r="J136" i="27"/>
  <c r="E141" i="25"/>
  <c r="G140" i="25"/>
  <c r="D141" i="25"/>
  <c r="E141" i="22"/>
  <c r="G140" i="22"/>
  <c r="D141" i="22"/>
  <c r="E144" i="11"/>
  <c r="G143" i="11"/>
  <c r="D144" i="11"/>
  <c r="E134" i="37"/>
  <c r="G133" i="37"/>
  <c r="D134" i="37"/>
  <c r="D139" i="24"/>
  <c r="G138" i="24"/>
  <c r="E139" i="24"/>
  <c r="J140" i="4"/>
  <c r="G142" i="8"/>
  <c r="E143" i="8"/>
  <c r="D143" i="8"/>
  <c r="G143" i="9"/>
  <c r="D144" i="9"/>
  <c r="E144" i="9"/>
  <c r="G136" i="28"/>
  <c r="E137" i="28"/>
  <c r="D137" i="28"/>
  <c r="B134" i="38"/>
  <c r="F134" i="38"/>
  <c r="J141" i="8"/>
  <c r="J143" i="10"/>
  <c r="E145" i="10"/>
  <c r="D145" i="10"/>
  <c r="G144" i="10"/>
  <c r="D136" i="30"/>
  <c r="E136" i="30"/>
  <c r="G135" i="30"/>
  <c r="J134" i="30"/>
  <c r="E140" i="23"/>
  <c r="D140" i="23"/>
  <c r="G139" i="23"/>
  <c r="D143" i="6"/>
  <c r="E143" i="6"/>
  <c r="G142" i="6"/>
  <c r="E145" i="7"/>
  <c r="D145" i="7"/>
  <c r="G144" i="7"/>
  <c r="D142" i="5"/>
  <c r="E142" i="5"/>
  <c r="G141" i="5"/>
  <c r="D138" i="27"/>
  <c r="E138" i="27"/>
  <c r="G137" i="27"/>
  <c r="H137" i="29"/>
  <c r="I137" i="29"/>
  <c r="B138" i="29"/>
  <c r="F138" i="29"/>
  <c r="D136" i="13"/>
  <c r="E136" i="13" s="1"/>
  <c r="G135" i="13"/>
  <c r="F55" i="39"/>
  <c r="G55" i="39"/>
  <c r="H55" i="39"/>
  <c r="I55" i="39" s="1"/>
  <c r="B55" i="39"/>
  <c r="F63" i="3"/>
  <c r="G63" i="3"/>
  <c r="H63" i="3"/>
  <c r="I63" i="3" s="1"/>
  <c r="B63" i="3"/>
  <c r="F55" i="13"/>
  <c r="G55" i="13"/>
  <c r="H55" i="13"/>
  <c r="I55" i="13" s="1"/>
  <c r="B55" i="13"/>
  <c r="B63" i="5"/>
  <c r="F63" i="5"/>
  <c r="H63" i="5" s="1"/>
  <c r="B59" i="27"/>
  <c r="F59" i="27"/>
  <c r="H59" i="27" s="1"/>
  <c r="F65" i="11"/>
  <c r="B65" i="11"/>
  <c r="B57" i="28"/>
  <c r="F57" i="28"/>
  <c r="G57" i="28" s="1"/>
  <c r="H66" i="7"/>
  <c r="G66" i="7"/>
  <c r="B66" i="7"/>
  <c r="F66" i="7"/>
  <c r="I65" i="9"/>
  <c r="B66" i="9"/>
  <c r="H66" i="9"/>
  <c r="F66" i="9"/>
  <c r="G133" i="41"/>
  <c r="D134" i="41"/>
  <c r="E134" i="41"/>
  <c r="J136" i="31"/>
  <c r="E138" i="31"/>
  <c r="D138" i="31"/>
  <c r="G137" i="31"/>
  <c r="B135" i="42"/>
  <c r="I56" i="31"/>
  <c r="G53" i="42"/>
  <c r="B53" i="42"/>
  <c r="F53" i="42"/>
  <c r="H53" i="42"/>
  <c r="I53" i="42" s="1"/>
  <c r="B65" i="10"/>
  <c r="H61" i="25"/>
  <c r="I61" i="25" s="1"/>
  <c r="B61" i="25"/>
  <c r="G61" i="25"/>
  <c r="F61" i="25"/>
  <c r="I133" i="39"/>
  <c r="H133" i="39"/>
  <c r="B63" i="8"/>
  <c r="F63" i="8"/>
  <c r="H63" i="8"/>
  <c r="G63" i="8"/>
  <c r="D134" i="45"/>
  <c r="E134" i="45" s="1"/>
  <c r="G133" i="45"/>
  <c r="F59" i="24"/>
  <c r="G59" i="24"/>
  <c r="B59" i="24"/>
  <c r="F54" i="40"/>
  <c r="H54" i="40" s="1"/>
  <c r="I54" i="40" s="1"/>
  <c r="G54" i="40"/>
  <c r="B54" i="40"/>
  <c r="F61" i="22"/>
  <c r="H61" i="22" s="1"/>
  <c r="I61" i="22" s="1"/>
  <c r="B61" i="22"/>
  <c r="G61" i="22"/>
  <c r="B56" i="30"/>
  <c r="G56" i="30"/>
  <c r="F56" i="30"/>
  <c r="H56" i="30" s="1"/>
  <c r="I56" i="30" s="1"/>
  <c r="H60" i="23"/>
  <c r="G60" i="23"/>
  <c r="B60" i="23"/>
  <c r="F60" i="23"/>
  <c r="F54" i="41"/>
  <c r="G54" i="41" s="1"/>
  <c r="B54" i="41"/>
  <c r="G134" i="44"/>
  <c r="E135" i="44"/>
  <c r="D135" i="44"/>
  <c r="B54" i="43"/>
  <c r="F54" i="43"/>
  <c r="G54" i="43" s="1"/>
  <c r="B53" i="45"/>
  <c r="F53" i="45"/>
  <c r="H53" i="45"/>
  <c r="F134" i="39"/>
  <c r="B134" i="39"/>
  <c r="I134" i="42"/>
  <c r="H134" i="42"/>
  <c r="I64" i="6"/>
  <c r="D59" i="29"/>
  <c r="E59" i="29"/>
  <c r="E59" i="24"/>
  <c r="E61" i="22"/>
  <c r="D134" i="43"/>
  <c r="G133" i="43"/>
  <c r="E134" i="43"/>
  <c r="D57" i="31"/>
  <c r="E57" i="31"/>
  <c r="B54" i="37"/>
  <c r="F54" i="37"/>
  <c r="H54" i="37"/>
  <c r="G54" i="37"/>
  <c r="B63" i="4"/>
  <c r="F63" i="4"/>
  <c r="G63" i="4" s="1"/>
  <c r="B55" i="44"/>
  <c r="F55" i="44"/>
  <c r="G55" i="44" s="1"/>
  <c r="E65" i="10"/>
  <c r="F65" i="10" s="1"/>
  <c r="E135" i="42"/>
  <c r="F135" i="42" s="1"/>
  <c r="B54" i="38"/>
  <c r="F54" i="38"/>
  <c r="G54" i="38"/>
  <c r="D65" i="6"/>
  <c r="E65" i="6" s="1"/>
  <c r="G58" i="29"/>
  <c r="I58" i="29" s="1"/>
  <c r="I141" i="5" l="1"/>
  <c r="H141" i="5"/>
  <c r="F145" i="7"/>
  <c r="B145" i="7"/>
  <c r="F143" i="6"/>
  <c r="B143" i="6"/>
  <c r="I144" i="10"/>
  <c r="H144" i="10"/>
  <c r="I143" i="9"/>
  <c r="H143" i="9"/>
  <c r="F134" i="37"/>
  <c r="B134" i="37"/>
  <c r="H143" i="11"/>
  <c r="I143" i="11"/>
  <c r="H141" i="3"/>
  <c r="I141" i="3"/>
  <c r="J141" i="3" s="1"/>
  <c r="F142" i="4"/>
  <c r="B142" i="4"/>
  <c r="J137" i="29"/>
  <c r="I137" i="27"/>
  <c r="J137" i="27" s="1"/>
  <c r="H137" i="27"/>
  <c r="I139" i="23"/>
  <c r="H139" i="23"/>
  <c r="I135" i="30"/>
  <c r="J135" i="30" s="1"/>
  <c r="H135" i="30"/>
  <c r="F145" i="10"/>
  <c r="B145" i="10"/>
  <c r="D135" i="38"/>
  <c r="G134" i="38"/>
  <c r="E135" i="38"/>
  <c r="H136" i="28"/>
  <c r="I136" i="28"/>
  <c r="J136" i="28" s="1"/>
  <c r="B143" i="8"/>
  <c r="F143" i="8"/>
  <c r="H133" i="37"/>
  <c r="I133" i="37"/>
  <c r="B141" i="25"/>
  <c r="F141" i="25"/>
  <c r="H133" i="40"/>
  <c r="I133" i="40"/>
  <c r="B142" i="3"/>
  <c r="F142" i="3"/>
  <c r="H141" i="4"/>
  <c r="I141" i="4"/>
  <c r="J141" i="4" s="1"/>
  <c r="F142" i="5"/>
  <c r="B142" i="5"/>
  <c r="H142" i="6"/>
  <c r="I142" i="6"/>
  <c r="J142" i="6" s="1"/>
  <c r="F140" i="23"/>
  <c r="B140" i="23"/>
  <c r="H138" i="24"/>
  <c r="I138" i="24"/>
  <c r="B141" i="22"/>
  <c r="F141" i="22"/>
  <c r="I140" i="25"/>
  <c r="H140" i="25"/>
  <c r="B138" i="27"/>
  <c r="F138" i="27"/>
  <c r="I144" i="7"/>
  <c r="H144" i="7"/>
  <c r="F136" i="30"/>
  <c r="B136" i="30"/>
  <c r="B137" i="28"/>
  <c r="F137" i="28"/>
  <c r="F144" i="9"/>
  <c r="B144" i="9"/>
  <c r="H142" i="8"/>
  <c r="I142" i="8"/>
  <c r="J142" i="8" s="1"/>
  <c r="B139" i="24"/>
  <c r="F139" i="24"/>
  <c r="B144" i="11"/>
  <c r="F144" i="11"/>
  <c r="I140" i="22"/>
  <c r="H140" i="22"/>
  <c r="F134" i="40"/>
  <c r="B134" i="40"/>
  <c r="G138" i="29"/>
  <c r="E139" i="29"/>
  <c r="D139" i="29"/>
  <c r="D66" i="10"/>
  <c r="E66" i="10" s="1"/>
  <c r="H65" i="10"/>
  <c r="G65" i="10"/>
  <c r="I54" i="37"/>
  <c r="I134" i="44"/>
  <c r="H134" i="44"/>
  <c r="I63" i="8"/>
  <c r="H55" i="44"/>
  <c r="I55" i="44" s="1"/>
  <c r="E55" i="37"/>
  <c r="D55" i="37"/>
  <c r="H54" i="41"/>
  <c r="I54" i="41" s="1"/>
  <c r="D64" i="8"/>
  <c r="E64" i="8" s="1"/>
  <c r="D54" i="42"/>
  <c r="E54" i="42"/>
  <c r="I133" i="41"/>
  <c r="H133" i="41"/>
  <c r="I66" i="7"/>
  <c r="D56" i="13"/>
  <c r="E56" i="13"/>
  <c r="D55" i="38"/>
  <c r="E55" i="38"/>
  <c r="B134" i="41"/>
  <c r="F134" i="41"/>
  <c r="H54" i="43"/>
  <c r="I54" i="43" s="1"/>
  <c r="D57" i="30"/>
  <c r="E57" i="30"/>
  <c r="D67" i="9"/>
  <c r="D58" i="28"/>
  <c r="E58" i="28" s="1"/>
  <c r="E54" i="45"/>
  <c r="D54" i="45"/>
  <c r="D55" i="40"/>
  <c r="E55" i="40"/>
  <c r="H63" i="4"/>
  <c r="I63" i="4" s="1"/>
  <c r="E135" i="39"/>
  <c r="D135" i="39"/>
  <c r="G134" i="39"/>
  <c r="D62" i="22"/>
  <c r="H133" i="45"/>
  <c r="I133" i="45"/>
  <c r="H137" i="31"/>
  <c r="I137" i="31"/>
  <c r="J137" i="31" s="1"/>
  <c r="D66" i="11"/>
  <c r="D64" i="5"/>
  <c r="E64" i="5"/>
  <c r="D136" i="42"/>
  <c r="E136" i="42" s="1"/>
  <c r="G135" i="42"/>
  <c r="D60" i="24"/>
  <c r="E60" i="24" s="1"/>
  <c r="D55" i="43"/>
  <c r="E55" i="43"/>
  <c r="D55" i="41"/>
  <c r="E55" i="41"/>
  <c r="F134" i="45"/>
  <c r="B134" i="45"/>
  <c r="D62" i="25"/>
  <c r="E62" i="25"/>
  <c r="F138" i="31"/>
  <c r="B138" i="31"/>
  <c r="G66" i="9"/>
  <c r="I66" i="9" s="1"/>
  <c r="H65" i="11"/>
  <c r="I65" i="11" s="1"/>
  <c r="G63" i="5"/>
  <c r="D56" i="44"/>
  <c r="E56" i="44"/>
  <c r="D64" i="4"/>
  <c r="H133" i="43"/>
  <c r="I133" i="43"/>
  <c r="D61" i="23"/>
  <c r="E61" i="23"/>
  <c r="H59" i="24"/>
  <c r="I59" i="24" s="1"/>
  <c r="G65" i="11"/>
  <c r="D64" i="3"/>
  <c r="H135" i="13"/>
  <c r="I135" i="13"/>
  <c r="D60" i="27"/>
  <c r="E60" i="27"/>
  <c r="I60" i="23"/>
  <c r="B65" i="6"/>
  <c r="F65" i="6"/>
  <c r="G65" i="6" s="1"/>
  <c r="H65" i="6"/>
  <c r="H54" i="38"/>
  <c r="I54" i="38" s="1"/>
  <c r="B57" i="31"/>
  <c r="F57" i="31"/>
  <c r="H57" i="31"/>
  <c r="G57" i="31"/>
  <c r="B134" i="43"/>
  <c r="F134" i="43"/>
  <c r="F59" i="29"/>
  <c r="H59" i="29"/>
  <c r="B59" i="29"/>
  <c r="G53" i="45"/>
  <c r="I53" i="45" s="1"/>
  <c r="F135" i="44"/>
  <c r="B135" i="44"/>
  <c r="D67" i="7"/>
  <c r="E67" i="7"/>
  <c r="H57" i="28"/>
  <c r="I57" i="28" s="1"/>
  <c r="G59" i="27"/>
  <c r="I59" i="27" s="1"/>
  <c r="D56" i="39"/>
  <c r="E56" i="39"/>
  <c r="F136" i="13"/>
  <c r="B136" i="13"/>
  <c r="G144" i="11" l="1"/>
  <c r="D145" i="11"/>
  <c r="E145" i="11"/>
  <c r="E138" i="28"/>
  <c r="D138" i="28"/>
  <c r="G137" i="28"/>
  <c r="F135" i="38"/>
  <c r="B135" i="38"/>
  <c r="G134" i="40"/>
  <c r="D135" i="40"/>
  <c r="E135" i="40"/>
  <c r="J144" i="7"/>
  <c r="D135" i="37"/>
  <c r="G134" i="37"/>
  <c r="E135" i="37"/>
  <c r="J144" i="10"/>
  <c r="G145" i="7"/>
  <c r="D146" i="7"/>
  <c r="D140" i="24"/>
  <c r="G139" i="24"/>
  <c r="E140" i="24"/>
  <c r="E139" i="27"/>
  <c r="G138" i="27"/>
  <c r="D139" i="27"/>
  <c r="G141" i="22"/>
  <c r="E142" i="22"/>
  <c r="D142" i="22"/>
  <c r="E143" i="3"/>
  <c r="G142" i="3"/>
  <c r="D143" i="3"/>
  <c r="G141" i="25"/>
  <c r="D142" i="25"/>
  <c r="E142" i="25"/>
  <c r="G143" i="8"/>
  <c r="E144" i="8"/>
  <c r="D144" i="8"/>
  <c r="E146" i="10"/>
  <c r="D146" i="10"/>
  <c r="G145" i="10"/>
  <c r="D145" i="9"/>
  <c r="G144" i="9"/>
  <c r="E145" i="9"/>
  <c r="D137" i="30"/>
  <c r="E137" i="30"/>
  <c r="G136" i="30"/>
  <c r="D141" i="23"/>
  <c r="G140" i="23"/>
  <c r="E141" i="23"/>
  <c r="E143" i="5"/>
  <c r="G142" i="5"/>
  <c r="D143" i="5"/>
  <c r="I134" i="38"/>
  <c r="H134" i="38"/>
  <c r="G142" i="4"/>
  <c r="E143" i="4"/>
  <c r="D143" i="4"/>
  <c r="D144" i="6"/>
  <c r="G143" i="6"/>
  <c r="E144" i="6"/>
  <c r="J141" i="5"/>
  <c r="I138" i="29"/>
  <c r="H138" i="29"/>
  <c r="B139" i="29"/>
  <c r="F139" i="29"/>
  <c r="F135" i="39"/>
  <c r="B135" i="39"/>
  <c r="F55" i="38"/>
  <c r="H55" i="38"/>
  <c r="B55" i="38"/>
  <c r="F60" i="27"/>
  <c r="B60" i="27"/>
  <c r="G60" i="27"/>
  <c r="H60" i="27"/>
  <c r="B61" i="23"/>
  <c r="F61" i="23"/>
  <c r="D139" i="31"/>
  <c r="G138" i="31"/>
  <c r="E139" i="31"/>
  <c r="B136" i="42"/>
  <c r="F136" i="42"/>
  <c r="F56" i="13"/>
  <c r="B56" i="13"/>
  <c r="B55" i="37"/>
  <c r="F55" i="37"/>
  <c r="B66" i="11"/>
  <c r="H135" i="42"/>
  <c r="I135" i="42"/>
  <c r="F54" i="42"/>
  <c r="B54" i="42"/>
  <c r="D60" i="29"/>
  <c r="E60" i="29" s="1"/>
  <c r="D135" i="43"/>
  <c r="G134" i="43"/>
  <c r="E135" i="43"/>
  <c r="B56" i="44"/>
  <c r="F56" i="44"/>
  <c r="G56" i="44" s="1"/>
  <c r="B67" i="9"/>
  <c r="D135" i="45"/>
  <c r="G134" i="45"/>
  <c r="E135" i="45"/>
  <c r="F58" i="28"/>
  <c r="H58" i="28"/>
  <c r="G58" i="28"/>
  <c r="B58" i="28"/>
  <c r="D137" i="13"/>
  <c r="E137" i="13" s="1"/>
  <c r="G136" i="13"/>
  <c r="D136" i="44"/>
  <c r="G135" i="44"/>
  <c r="I65" i="6"/>
  <c r="B64" i="4"/>
  <c r="B60" i="24"/>
  <c r="F60" i="24"/>
  <c r="H60" i="24"/>
  <c r="B62" i="22"/>
  <c r="F55" i="40"/>
  <c r="B55" i="40"/>
  <c r="H55" i="40"/>
  <c r="I65" i="10"/>
  <c r="B64" i="3"/>
  <c r="F64" i="3"/>
  <c r="G64" i="3"/>
  <c r="I57" i="31"/>
  <c r="E64" i="3"/>
  <c r="E64" i="4"/>
  <c r="F64" i="4" s="1"/>
  <c r="F55" i="41"/>
  <c r="H55" i="41" s="1"/>
  <c r="B55" i="41"/>
  <c r="B64" i="5"/>
  <c r="F64" i="5"/>
  <c r="E62" i="22"/>
  <c r="F62" i="22" s="1"/>
  <c r="H54" i="45"/>
  <c r="B54" i="45"/>
  <c r="F54" i="45"/>
  <c r="G54" i="45" s="1"/>
  <c r="B57" i="30"/>
  <c r="F57" i="30"/>
  <c r="G57" i="30"/>
  <c r="D135" i="41"/>
  <c r="G134" i="41"/>
  <c r="E135" i="41"/>
  <c r="B64" i="8"/>
  <c r="F64" i="8"/>
  <c r="G64" i="8" s="1"/>
  <c r="G55" i="43"/>
  <c r="B55" i="43"/>
  <c r="F55" i="43"/>
  <c r="B67" i="7"/>
  <c r="H67" i="7"/>
  <c r="I67" i="7" s="1"/>
  <c r="G67" i="7"/>
  <c r="F67" i="7"/>
  <c r="D66" i="6"/>
  <c r="E66" i="6" s="1"/>
  <c r="F56" i="39"/>
  <c r="G56" i="39"/>
  <c r="H56" i="39"/>
  <c r="I56" i="39" s="1"/>
  <c r="B56" i="39"/>
  <c r="G59" i="29"/>
  <c r="I59" i="29" s="1"/>
  <c r="D58" i="31"/>
  <c r="E58" i="31"/>
  <c r="F62" i="25"/>
  <c r="G62" i="25" s="1"/>
  <c r="H62" i="25"/>
  <c r="B62" i="25"/>
  <c r="E66" i="11"/>
  <c r="F66" i="11" s="1"/>
  <c r="H134" i="39"/>
  <c r="I134" i="39"/>
  <c r="E67" i="9"/>
  <c r="F67" i="9" s="1"/>
  <c r="F66" i="10"/>
  <c r="H66" i="10" s="1"/>
  <c r="B66" i="10"/>
  <c r="F142" i="25" l="1"/>
  <c r="B142" i="25"/>
  <c r="B143" i="5"/>
  <c r="F143" i="5"/>
  <c r="H140" i="23"/>
  <c r="I140" i="23"/>
  <c r="B137" i="30"/>
  <c r="F137" i="30"/>
  <c r="H145" i="10"/>
  <c r="I145" i="10"/>
  <c r="J145" i="10" s="1"/>
  <c r="H141" i="25"/>
  <c r="I141" i="25"/>
  <c r="F142" i="22"/>
  <c r="B142" i="22"/>
  <c r="I138" i="27"/>
  <c r="J138" i="27" s="1"/>
  <c r="H138" i="27"/>
  <c r="F140" i="24"/>
  <c r="B140" i="24"/>
  <c r="D136" i="38"/>
  <c r="E136" i="38"/>
  <c r="G135" i="38"/>
  <c r="F145" i="9"/>
  <c r="B145" i="9"/>
  <c r="H143" i="6"/>
  <c r="I143" i="6"/>
  <c r="I142" i="4"/>
  <c r="H142" i="4"/>
  <c r="H142" i="5"/>
  <c r="I142" i="5"/>
  <c r="B141" i="23"/>
  <c r="F141" i="23"/>
  <c r="B146" i="10"/>
  <c r="F146" i="10"/>
  <c r="H143" i="8"/>
  <c r="I143" i="8"/>
  <c r="J143" i="8" s="1"/>
  <c r="F143" i="3"/>
  <c r="B143" i="3"/>
  <c r="E146" i="7"/>
  <c r="F146" i="7"/>
  <c r="B146" i="7"/>
  <c r="H134" i="37"/>
  <c r="I134" i="37"/>
  <c r="B135" i="40"/>
  <c r="F135" i="40"/>
  <c r="H137" i="28"/>
  <c r="I137" i="28"/>
  <c r="J137" i="28" s="1"/>
  <c r="F145" i="11"/>
  <c r="B145" i="11"/>
  <c r="F143" i="4"/>
  <c r="B143" i="4"/>
  <c r="B144" i="8"/>
  <c r="F144" i="8"/>
  <c r="B139" i="27"/>
  <c r="F139" i="27"/>
  <c r="H139" i="24"/>
  <c r="I139" i="24"/>
  <c r="F144" i="6"/>
  <c r="B144" i="6"/>
  <c r="I136" i="30"/>
  <c r="J136" i="30" s="1"/>
  <c r="H136" i="30"/>
  <c r="H144" i="9"/>
  <c r="I144" i="9"/>
  <c r="H142" i="3"/>
  <c r="I142" i="3"/>
  <c r="H141" i="22"/>
  <c r="I141" i="22"/>
  <c r="I145" i="7"/>
  <c r="J145" i="7" s="1"/>
  <c r="H145" i="7"/>
  <c r="B135" i="37"/>
  <c r="F135" i="37"/>
  <c r="H134" i="40"/>
  <c r="I134" i="40"/>
  <c r="B138" i="28"/>
  <c r="F138" i="28"/>
  <c r="H144" i="11"/>
  <c r="I144" i="11"/>
  <c r="J138" i="29"/>
  <c r="D140" i="29"/>
  <c r="E140" i="29"/>
  <c r="G139" i="29"/>
  <c r="D65" i="4"/>
  <c r="G64" i="4"/>
  <c r="H64" i="4"/>
  <c r="I64" i="4" s="1"/>
  <c r="D68" i="9"/>
  <c r="E68" i="9" s="1"/>
  <c r="G67" i="9"/>
  <c r="H67" i="9"/>
  <c r="I67" i="9" s="1"/>
  <c r="D63" i="22"/>
  <c r="E63" i="22" s="1"/>
  <c r="H62" i="22"/>
  <c r="G62" i="22"/>
  <c r="D67" i="11"/>
  <c r="E67" i="11" s="1"/>
  <c r="G66" i="11"/>
  <c r="H66" i="11"/>
  <c r="I134" i="41"/>
  <c r="H134" i="41"/>
  <c r="D57" i="13"/>
  <c r="E57" i="13"/>
  <c r="H64" i="8"/>
  <c r="I64" i="8" s="1"/>
  <c r="I134" i="45"/>
  <c r="H134" i="45"/>
  <c r="D55" i="42"/>
  <c r="E55" i="42"/>
  <c r="H56" i="13"/>
  <c r="D56" i="38"/>
  <c r="E56" i="38"/>
  <c r="E65" i="3"/>
  <c r="D65" i="3"/>
  <c r="D56" i="40"/>
  <c r="E56" i="40"/>
  <c r="F135" i="45"/>
  <c r="B135" i="45"/>
  <c r="G56" i="13"/>
  <c r="H138" i="31"/>
  <c r="I138" i="31"/>
  <c r="G55" i="38"/>
  <c r="E57" i="44"/>
  <c r="D57" i="44"/>
  <c r="I54" i="45"/>
  <c r="D57" i="39"/>
  <c r="E57" i="39" s="1"/>
  <c r="D58" i="30"/>
  <c r="E58" i="30" s="1"/>
  <c r="D65" i="5"/>
  <c r="G55" i="40"/>
  <c r="I55" i="40" s="1"/>
  <c r="D61" i="24"/>
  <c r="E61" i="24" s="1"/>
  <c r="I135" i="44"/>
  <c r="H135" i="44"/>
  <c r="I58" i="28"/>
  <c r="H56" i="44"/>
  <c r="I56" i="44" s="1"/>
  <c r="B60" i="29"/>
  <c r="F60" i="29"/>
  <c r="D56" i="37"/>
  <c r="E56" i="37"/>
  <c r="B139" i="31"/>
  <c r="F139" i="31"/>
  <c r="I60" i="27"/>
  <c r="D63" i="25"/>
  <c r="E63" i="25" s="1"/>
  <c r="D56" i="41"/>
  <c r="E56" i="41"/>
  <c r="G66" i="10"/>
  <c r="I66" i="10" s="1"/>
  <c r="E56" i="43"/>
  <c r="D56" i="43"/>
  <c r="G64" i="5"/>
  <c r="H64" i="3"/>
  <c r="I64" i="3" s="1"/>
  <c r="B136" i="44"/>
  <c r="D59" i="28"/>
  <c r="E59" i="28" s="1"/>
  <c r="H55" i="37"/>
  <c r="D62" i="23"/>
  <c r="E62" i="23" s="1"/>
  <c r="D65" i="8"/>
  <c r="E65" i="8" s="1"/>
  <c r="B135" i="41"/>
  <c r="F135" i="41"/>
  <c r="F66" i="6"/>
  <c r="B66" i="6"/>
  <c r="H57" i="30"/>
  <c r="I57" i="30" s="1"/>
  <c r="H64" i="5"/>
  <c r="G60" i="24"/>
  <c r="I60" i="24" s="1"/>
  <c r="E136" i="44"/>
  <c r="F136" i="44" s="1"/>
  <c r="H134" i="43"/>
  <c r="I134" i="43"/>
  <c r="D137" i="42"/>
  <c r="G136" i="42"/>
  <c r="H61" i="23"/>
  <c r="G135" i="39"/>
  <c r="E136" i="39"/>
  <c r="D136" i="39"/>
  <c r="F58" i="31"/>
  <c r="G58" i="31" s="1"/>
  <c r="H58" i="31"/>
  <c r="B58" i="31"/>
  <c r="E68" i="7"/>
  <c r="D68" i="7"/>
  <c r="H55" i="43"/>
  <c r="I55" i="43" s="1"/>
  <c r="H136" i="13"/>
  <c r="I136" i="13"/>
  <c r="F135" i="43"/>
  <c r="B135" i="43"/>
  <c r="G54" i="42"/>
  <c r="G55" i="37"/>
  <c r="D61" i="27"/>
  <c r="E61" i="27" s="1"/>
  <c r="I62" i="25"/>
  <c r="I55" i="38"/>
  <c r="D67" i="10"/>
  <c r="E67" i="10"/>
  <c r="D55" i="45"/>
  <c r="E55" i="45"/>
  <c r="G55" i="41"/>
  <c r="I55" i="41" s="1"/>
  <c r="F137" i="13"/>
  <c r="B137" i="13"/>
  <c r="H54" i="42"/>
  <c r="I54" i="42" s="1"/>
  <c r="G61" i="23"/>
  <c r="J142" i="3" l="1"/>
  <c r="D145" i="8"/>
  <c r="G144" i="8"/>
  <c r="E145" i="8"/>
  <c r="E136" i="40"/>
  <c r="D136" i="40"/>
  <c r="G135" i="40"/>
  <c r="D144" i="3"/>
  <c r="E144" i="3"/>
  <c r="G143" i="3"/>
  <c r="E138" i="30"/>
  <c r="D138" i="30"/>
  <c r="G137" i="30"/>
  <c r="D144" i="5"/>
  <c r="E144" i="5"/>
  <c r="G143" i="5"/>
  <c r="G145" i="11"/>
  <c r="E146" i="11"/>
  <c r="D146" i="11"/>
  <c r="D147" i="7"/>
  <c r="G146" i="7"/>
  <c r="G141" i="23"/>
  <c r="D142" i="23"/>
  <c r="E142" i="23"/>
  <c r="F136" i="38"/>
  <c r="B136" i="38"/>
  <c r="G138" i="28"/>
  <c r="D139" i="28"/>
  <c r="E139" i="28"/>
  <c r="G135" i="37"/>
  <c r="D136" i="37"/>
  <c r="E136" i="37"/>
  <c r="G139" i="27"/>
  <c r="D140" i="27"/>
  <c r="E140" i="27"/>
  <c r="J142" i="4"/>
  <c r="G145" i="9"/>
  <c r="D146" i="9"/>
  <c r="G144" i="6"/>
  <c r="D145" i="6"/>
  <c r="E145" i="6"/>
  <c r="E144" i="4"/>
  <c r="D144" i="4"/>
  <c r="G143" i="4"/>
  <c r="D147" i="10"/>
  <c r="G146" i="10"/>
  <c r="J142" i="5"/>
  <c r="J143" i="6"/>
  <c r="I135" i="38"/>
  <c r="H135" i="38"/>
  <c r="E141" i="24"/>
  <c r="G140" i="24"/>
  <c r="D141" i="24"/>
  <c r="D143" i="22"/>
  <c r="E143" i="22"/>
  <c r="G142" i="22"/>
  <c r="G142" i="25"/>
  <c r="D143" i="25"/>
  <c r="E143" i="25"/>
  <c r="F140" i="29"/>
  <c r="B140" i="29"/>
  <c r="I139" i="29"/>
  <c r="H139" i="29"/>
  <c r="G135" i="41"/>
  <c r="D136" i="41"/>
  <c r="E136" i="41"/>
  <c r="B55" i="42"/>
  <c r="F55" i="42"/>
  <c r="I62" i="22"/>
  <c r="I58" i="31"/>
  <c r="D67" i="6"/>
  <c r="E67" i="6" s="1"/>
  <c r="G139" i="31"/>
  <c r="D140" i="31"/>
  <c r="E140" i="31"/>
  <c r="D59" i="31"/>
  <c r="E59" i="31"/>
  <c r="F136" i="39"/>
  <c r="B136" i="39"/>
  <c r="B65" i="4"/>
  <c r="F55" i="45"/>
  <c r="H55" i="45"/>
  <c r="G55" i="45"/>
  <c r="B55" i="45"/>
  <c r="H59" i="28"/>
  <c r="I59" i="28" s="1"/>
  <c r="B59" i="28"/>
  <c r="G59" i="28"/>
  <c r="F59" i="28"/>
  <c r="F56" i="37"/>
  <c r="B56" i="37"/>
  <c r="G56" i="37"/>
  <c r="H56" i="37"/>
  <c r="I56" i="37" s="1"/>
  <c r="F57" i="44"/>
  <c r="H57" i="44" s="1"/>
  <c r="I57" i="44" s="1"/>
  <c r="B57" i="44"/>
  <c r="G57" i="44"/>
  <c r="D136" i="45"/>
  <c r="G135" i="45"/>
  <c r="I66" i="11"/>
  <c r="H63" i="22"/>
  <c r="F63" i="22"/>
  <c r="B63" i="22"/>
  <c r="G63" i="22"/>
  <c r="E65" i="4"/>
  <c r="F65" i="4" s="1"/>
  <c r="B61" i="27"/>
  <c r="F61" i="27"/>
  <c r="G61" i="27" s="1"/>
  <c r="H61" i="27"/>
  <c r="B65" i="8"/>
  <c r="F65" i="8"/>
  <c r="H65" i="8" s="1"/>
  <c r="G136" i="44"/>
  <c r="D137" i="44"/>
  <c r="B56" i="41"/>
  <c r="F56" i="41"/>
  <c r="H56" i="41"/>
  <c r="G56" i="41"/>
  <c r="D61" i="29"/>
  <c r="B65" i="5"/>
  <c r="F57" i="39"/>
  <c r="G57" i="39"/>
  <c r="H57" i="39"/>
  <c r="I57" i="39" s="1"/>
  <c r="B57" i="39"/>
  <c r="F56" i="38"/>
  <c r="H56" i="38"/>
  <c r="G56" i="38"/>
  <c r="B56" i="38"/>
  <c r="B137" i="42"/>
  <c r="H135" i="39"/>
  <c r="I135" i="39"/>
  <c r="G137" i="13"/>
  <c r="D138" i="13"/>
  <c r="E138" i="13" s="1"/>
  <c r="B67" i="10"/>
  <c r="F67" i="10"/>
  <c r="G67" i="10" s="1"/>
  <c r="F68" i="7"/>
  <c r="B68" i="7"/>
  <c r="H68" i="7"/>
  <c r="G68" i="7"/>
  <c r="I61" i="23"/>
  <c r="H66" i="6"/>
  <c r="G60" i="29"/>
  <c r="E65" i="5"/>
  <c r="F65" i="5" s="1"/>
  <c r="J138" i="31"/>
  <c r="I56" i="13"/>
  <c r="B57" i="13"/>
  <c r="F57" i="13"/>
  <c r="G57" i="13"/>
  <c r="B56" i="43"/>
  <c r="F56" i="43"/>
  <c r="G56" i="43"/>
  <c r="H136" i="42"/>
  <c r="I136" i="42"/>
  <c r="G66" i="6"/>
  <c r="F62" i="23"/>
  <c r="B62" i="23"/>
  <c r="H62" i="23"/>
  <c r="F63" i="25"/>
  <c r="H63" i="25" s="1"/>
  <c r="B63" i="25"/>
  <c r="H60" i="29"/>
  <c r="F56" i="40"/>
  <c r="B56" i="40"/>
  <c r="B67" i="11"/>
  <c r="F67" i="11"/>
  <c r="H67" i="11"/>
  <c r="I67" i="11" s="1"/>
  <c r="G67" i="11"/>
  <c r="G135" i="43"/>
  <c r="D136" i="43"/>
  <c r="E136" i="43"/>
  <c r="E137" i="42"/>
  <c r="F137" i="42" s="1"/>
  <c r="I55" i="37"/>
  <c r="F61" i="24"/>
  <c r="H61" i="24"/>
  <c r="B61" i="24"/>
  <c r="G61" i="24"/>
  <c r="F58" i="30"/>
  <c r="G58" i="30"/>
  <c r="B58" i="30"/>
  <c r="B65" i="3"/>
  <c r="F65" i="3"/>
  <c r="G65" i="3"/>
  <c r="H65" i="3"/>
  <c r="I65" i="3" s="1"/>
  <c r="F68" i="9"/>
  <c r="B68" i="9"/>
  <c r="B144" i="4" l="1"/>
  <c r="F144" i="4"/>
  <c r="I144" i="6"/>
  <c r="H144" i="6"/>
  <c r="B136" i="37"/>
  <c r="F136" i="37"/>
  <c r="H138" i="28"/>
  <c r="I138" i="28"/>
  <c r="J138" i="28" s="1"/>
  <c r="F142" i="23"/>
  <c r="B142" i="23"/>
  <c r="B147" i="7"/>
  <c r="H143" i="5"/>
  <c r="I143" i="5"/>
  <c r="J143" i="5" s="1"/>
  <c r="F138" i="30"/>
  <c r="B138" i="30"/>
  <c r="F144" i="3"/>
  <c r="B144" i="3"/>
  <c r="F143" i="25"/>
  <c r="B143" i="25"/>
  <c r="B143" i="22"/>
  <c r="F143" i="22"/>
  <c r="H146" i="10"/>
  <c r="I146" i="10"/>
  <c r="J146" i="10" s="1"/>
  <c r="E146" i="9"/>
  <c r="F146" i="9" s="1"/>
  <c r="B146" i="9"/>
  <c r="B140" i="27"/>
  <c r="F140" i="27"/>
  <c r="I135" i="37"/>
  <c r="H135" i="37"/>
  <c r="I141" i="23"/>
  <c r="H141" i="23"/>
  <c r="F146" i="11"/>
  <c r="B146" i="11"/>
  <c r="H135" i="40"/>
  <c r="I135" i="40"/>
  <c r="H144" i="8"/>
  <c r="I144" i="8"/>
  <c r="J144" i="8" s="1"/>
  <c r="H142" i="25"/>
  <c r="I142" i="25"/>
  <c r="F141" i="24"/>
  <c r="B141" i="24"/>
  <c r="E147" i="10"/>
  <c r="F147" i="10" s="1"/>
  <c r="B147" i="10"/>
  <c r="H145" i="9"/>
  <c r="I145" i="9"/>
  <c r="H139" i="27"/>
  <c r="I139" i="27"/>
  <c r="G136" i="38"/>
  <c r="E137" i="38"/>
  <c r="D137" i="38"/>
  <c r="H146" i="7"/>
  <c r="I146" i="7"/>
  <c r="J146" i="7" s="1"/>
  <c r="F144" i="5"/>
  <c r="B144" i="5"/>
  <c r="H143" i="3"/>
  <c r="I143" i="3"/>
  <c r="J143" i="3" s="1"/>
  <c r="B136" i="40"/>
  <c r="F136" i="40"/>
  <c r="F145" i="8"/>
  <c r="B145" i="8"/>
  <c r="I142" i="22"/>
  <c r="H142" i="22"/>
  <c r="I140" i="24"/>
  <c r="H140" i="24"/>
  <c r="H143" i="4"/>
  <c r="I143" i="4"/>
  <c r="F145" i="6"/>
  <c r="B145" i="6"/>
  <c r="F139" i="28"/>
  <c r="B139" i="28"/>
  <c r="E147" i="7"/>
  <c r="F147" i="7" s="1"/>
  <c r="H145" i="11"/>
  <c r="I145" i="11"/>
  <c r="H137" i="30"/>
  <c r="I137" i="30"/>
  <c r="J139" i="29"/>
  <c r="G140" i="29"/>
  <c r="E141" i="29"/>
  <c r="D141" i="29"/>
  <c r="D66" i="4"/>
  <c r="E66" i="4" s="1"/>
  <c r="G65" i="4"/>
  <c r="H65" i="4"/>
  <c r="I65" i="4" s="1"/>
  <c r="D66" i="5"/>
  <c r="E66" i="5" s="1"/>
  <c r="H65" i="5"/>
  <c r="G65" i="5"/>
  <c r="G137" i="42"/>
  <c r="D138" i="42"/>
  <c r="E57" i="40"/>
  <c r="D57" i="40"/>
  <c r="B136" i="45"/>
  <c r="D58" i="13"/>
  <c r="I68" i="7"/>
  <c r="F138" i="13"/>
  <c r="B138" i="13"/>
  <c r="G65" i="8"/>
  <c r="I65" i="8" s="1"/>
  <c r="I55" i="45"/>
  <c r="B59" i="31"/>
  <c r="F59" i="31"/>
  <c r="G59" i="31" s="1"/>
  <c r="H139" i="31"/>
  <c r="I139" i="31"/>
  <c r="F140" i="31"/>
  <c r="B140" i="31"/>
  <c r="E63" i="23"/>
  <c r="D63" i="23"/>
  <c r="H137" i="13"/>
  <c r="I137" i="13"/>
  <c r="D58" i="39"/>
  <c r="E58" i="39" s="1"/>
  <c r="I56" i="41"/>
  <c r="E56" i="45"/>
  <c r="D56" i="45"/>
  <c r="D56" i="42"/>
  <c r="E56" i="42"/>
  <c r="F136" i="41"/>
  <c r="B136" i="41"/>
  <c r="D69" i="9"/>
  <c r="E69" i="9"/>
  <c r="D66" i="3"/>
  <c r="I60" i="29"/>
  <c r="G62" i="23"/>
  <c r="D57" i="43"/>
  <c r="I66" i="6"/>
  <c r="D69" i="7"/>
  <c r="E69" i="7"/>
  <c r="D57" i="41"/>
  <c r="E57" i="41"/>
  <c r="D64" i="22"/>
  <c r="E64" i="22"/>
  <c r="F67" i="6"/>
  <c r="G67" i="6" s="1"/>
  <c r="B67" i="6"/>
  <c r="H55" i="42"/>
  <c r="I55" i="42" s="1"/>
  <c r="H135" i="41"/>
  <c r="I135" i="41"/>
  <c r="I61" i="27"/>
  <c r="I63" i="22"/>
  <c r="I62" i="23"/>
  <c r="D59" i="30"/>
  <c r="G68" i="9"/>
  <c r="I61" i="24"/>
  <c r="F136" i="43"/>
  <c r="B136" i="43"/>
  <c r="D68" i="11"/>
  <c r="G56" i="40"/>
  <c r="G63" i="25"/>
  <c r="I63" i="25" s="1"/>
  <c r="H56" i="43"/>
  <c r="I56" i="43" s="1"/>
  <c r="I56" i="38"/>
  <c r="B137" i="44"/>
  <c r="D57" i="37"/>
  <c r="E57" i="37" s="1"/>
  <c r="G55" i="42"/>
  <c r="F61" i="29"/>
  <c r="G61" i="29" s="1"/>
  <c r="B61" i="29"/>
  <c r="H58" i="30"/>
  <c r="I58" i="30" s="1"/>
  <c r="D68" i="10"/>
  <c r="H68" i="9"/>
  <c r="I68" i="9" s="1"/>
  <c r="D62" i="24"/>
  <c r="E62" i="24"/>
  <c r="I135" i="43"/>
  <c r="H135" i="43"/>
  <c r="H67" i="10"/>
  <c r="I67" i="10" s="1"/>
  <c r="D57" i="38"/>
  <c r="E57" i="38"/>
  <c r="E137" i="44"/>
  <c r="F137" i="44" s="1"/>
  <c r="D62" i="27"/>
  <c r="E62" i="27"/>
  <c r="E136" i="45"/>
  <c r="F136" i="45" s="1"/>
  <c r="D60" i="28"/>
  <c r="E60" i="28"/>
  <c r="D66" i="8"/>
  <c r="E66" i="8"/>
  <c r="H56" i="40"/>
  <c r="I56" i="40" s="1"/>
  <c r="D64" i="25"/>
  <c r="H57" i="13"/>
  <c r="I57" i="13" s="1"/>
  <c r="E61" i="29"/>
  <c r="H136" i="44"/>
  <c r="I136" i="44"/>
  <c r="I135" i="45"/>
  <c r="H135" i="45"/>
  <c r="D58" i="44"/>
  <c r="G136" i="39"/>
  <c r="E137" i="39"/>
  <c r="D137" i="39"/>
  <c r="G146" i="9" l="1"/>
  <c r="D147" i="9"/>
  <c r="D148" i="7"/>
  <c r="G147" i="7"/>
  <c r="D148" i="10"/>
  <c r="G147" i="10"/>
  <c r="D140" i="28"/>
  <c r="E140" i="28"/>
  <c r="G139" i="28"/>
  <c r="E145" i="5"/>
  <c r="G144" i="5"/>
  <c r="D145" i="5"/>
  <c r="I136" i="38"/>
  <c r="H136" i="38"/>
  <c r="D144" i="25"/>
  <c r="G143" i="25"/>
  <c r="E144" i="25"/>
  <c r="G138" i="30"/>
  <c r="E139" i="30"/>
  <c r="D139" i="30"/>
  <c r="J144" i="6"/>
  <c r="J137" i="30"/>
  <c r="G145" i="6"/>
  <c r="D146" i="6"/>
  <c r="E146" i="6" s="1"/>
  <c r="D146" i="8"/>
  <c r="E146" i="8"/>
  <c r="G145" i="8"/>
  <c r="J139" i="27"/>
  <c r="D142" i="24"/>
  <c r="G141" i="24"/>
  <c r="E142" i="24"/>
  <c r="G146" i="11"/>
  <c r="D147" i="11"/>
  <c r="G143" i="22"/>
  <c r="E144" i="22"/>
  <c r="D144" i="22"/>
  <c r="G136" i="37"/>
  <c r="E137" i="37"/>
  <c r="D137" i="37"/>
  <c r="E145" i="4"/>
  <c r="G144" i="4"/>
  <c r="D145" i="4"/>
  <c r="J143" i="4"/>
  <c r="D137" i="40"/>
  <c r="G136" i="40"/>
  <c r="E137" i="40"/>
  <c r="B137" i="38"/>
  <c r="F137" i="38"/>
  <c r="G140" i="27"/>
  <c r="D141" i="27"/>
  <c r="E141" i="27"/>
  <c r="E145" i="3"/>
  <c r="G144" i="3"/>
  <c r="D145" i="3"/>
  <c r="D143" i="23"/>
  <c r="G142" i="23"/>
  <c r="E143" i="23"/>
  <c r="B141" i="29"/>
  <c r="F141" i="29"/>
  <c r="H140" i="29"/>
  <c r="I140" i="29"/>
  <c r="D138" i="44"/>
  <c r="E138" i="44" s="1"/>
  <c r="G137" i="44"/>
  <c r="B57" i="43"/>
  <c r="G140" i="31"/>
  <c r="D141" i="31"/>
  <c r="E141" i="31"/>
  <c r="B58" i="13"/>
  <c r="D137" i="45"/>
  <c r="E137" i="45" s="1"/>
  <c r="G136" i="45"/>
  <c r="F66" i="8"/>
  <c r="B66" i="8"/>
  <c r="F62" i="27"/>
  <c r="H62" i="27"/>
  <c r="B62" i="27"/>
  <c r="H67" i="6"/>
  <c r="I67" i="6" s="1"/>
  <c r="G64" i="22"/>
  <c r="B64" i="22"/>
  <c r="F64" i="22"/>
  <c r="D137" i="41"/>
  <c r="G136" i="41"/>
  <c r="E137" i="41"/>
  <c r="J139" i="31"/>
  <c r="E58" i="13"/>
  <c r="F58" i="13" s="1"/>
  <c r="B57" i="40"/>
  <c r="F57" i="40"/>
  <c r="B68" i="11"/>
  <c r="G136" i="43"/>
  <c r="D137" i="43"/>
  <c r="E137" i="43"/>
  <c r="G66" i="5"/>
  <c r="F66" i="5"/>
  <c r="H66" i="5" s="1"/>
  <c r="B66" i="5"/>
  <c r="B62" i="24"/>
  <c r="G62" i="24"/>
  <c r="H62" i="24"/>
  <c r="F62" i="24"/>
  <c r="F57" i="41"/>
  <c r="H57" i="41" s="1"/>
  <c r="I57" i="41" s="1"/>
  <c r="B57" i="41"/>
  <c r="G57" i="41"/>
  <c r="G56" i="42"/>
  <c r="B56" i="42"/>
  <c r="H56" i="42"/>
  <c r="F56" i="42"/>
  <c r="B63" i="23"/>
  <c r="F63" i="23"/>
  <c r="H63" i="23" s="1"/>
  <c r="H59" i="31"/>
  <c r="I59" i="31" s="1"/>
  <c r="B138" i="42"/>
  <c r="B58" i="44"/>
  <c r="F57" i="38"/>
  <c r="G57" i="38" s="1"/>
  <c r="B57" i="38"/>
  <c r="D62" i="29"/>
  <c r="B59" i="30"/>
  <c r="F69" i="7"/>
  <c r="G69" i="7" s="1"/>
  <c r="H69" i="7"/>
  <c r="B69" i="7"/>
  <c r="B66" i="3"/>
  <c r="G69" i="9"/>
  <c r="B69" i="9"/>
  <c r="F69" i="9"/>
  <c r="H69" i="9"/>
  <c r="I69" i="9" s="1"/>
  <c r="D60" i="31"/>
  <c r="E60" i="31"/>
  <c r="E138" i="42"/>
  <c r="F138" i="42" s="1"/>
  <c r="F137" i="39"/>
  <c r="B137" i="39"/>
  <c r="B68" i="10"/>
  <c r="H61" i="29"/>
  <c r="I61" i="29" s="1"/>
  <c r="I136" i="39"/>
  <c r="H136" i="39"/>
  <c r="F60" i="28"/>
  <c r="H60" i="28" s="1"/>
  <c r="I60" i="28" s="1"/>
  <c r="B60" i="28"/>
  <c r="G60" i="28"/>
  <c r="E68" i="10"/>
  <c r="F68" i="10" s="1"/>
  <c r="E59" i="30"/>
  <c r="F59" i="30" s="1"/>
  <c r="E66" i="3"/>
  <c r="F66" i="3" s="1"/>
  <c r="D139" i="13"/>
  <c r="E139" i="13" s="1"/>
  <c r="G138" i="13"/>
  <c r="I137" i="42"/>
  <c r="H137" i="42"/>
  <c r="B64" i="25"/>
  <c r="F64" i="25"/>
  <c r="H57" i="37"/>
  <c r="B57" i="37"/>
  <c r="G57" i="37"/>
  <c r="F57" i="37"/>
  <c r="D68" i="6"/>
  <c r="E68" i="6"/>
  <c r="E64" i="25"/>
  <c r="E58" i="44"/>
  <c r="F58" i="44" s="1"/>
  <c r="E68" i="11"/>
  <c r="F68" i="11" s="1"/>
  <c r="E57" i="43"/>
  <c r="F57" i="43" s="1"/>
  <c r="F56" i="45"/>
  <c r="G56" i="45" s="1"/>
  <c r="B56" i="45"/>
  <c r="F58" i="39"/>
  <c r="H58" i="39" s="1"/>
  <c r="I58" i="39" s="1"/>
  <c r="B58" i="39"/>
  <c r="G58" i="39"/>
  <c r="H66" i="4"/>
  <c r="I66" i="4" s="1"/>
  <c r="B66" i="4"/>
  <c r="F66" i="4"/>
  <c r="G66" i="4"/>
  <c r="B145" i="3" l="1"/>
  <c r="F145" i="3"/>
  <c r="B141" i="27"/>
  <c r="F141" i="27"/>
  <c r="F145" i="4"/>
  <c r="B145" i="4"/>
  <c r="H143" i="22"/>
  <c r="I143" i="22"/>
  <c r="H141" i="24"/>
  <c r="I141" i="24"/>
  <c r="I145" i="6"/>
  <c r="J145" i="6" s="1"/>
  <c r="H145" i="6"/>
  <c r="F144" i="25"/>
  <c r="B144" i="25"/>
  <c r="I144" i="5"/>
  <c r="J144" i="5" s="1"/>
  <c r="H144" i="5"/>
  <c r="B140" i="28"/>
  <c r="F140" i="28"/>
  <c r="B148" i="7"/>
  <c r="I144" i="3"/>
  <c r="J144" i="3" s="1"/>
  <c r="H144" i="3"/>
  <c r="H140" i="27"/>
  <c r="I140" i="27"/>
  <c r="H136" i="40"/>
  <c r="I136" i="40"/>
  <c r="H144" i="4"/>
  <c r="I144" i="4"/>
  <c r="H136" i="37"/>
  <c r="I136" i="37"/>
  <c r="E147" i="11"/>
  <c r="B147" i="11"/>
  <c r="F147" i="11"/>
  <c r="B142" i="24"/>
  <c r="F142" i="24"/>
  <c r="F146" i="8"/>
  <c r="B146" i="8"/>
  <c r="H138" i="30"/>
  <c r="I138" i="30"/>
  <c r="J138" i="30" s="1"/>
  <c r="H147" i="10"/>
  <c r="I147" i="10"/>
  <c r="J147" i="10" s="1"/>
  <c r="E148" i="7"/>
  <c r="F148" i="7" s="1"/>
  <c r="H142" i="23"/>
  <c r="I142" i="23"/>
  <c r="E138" i="38"/>
  <c r="D138" i="38"/>
  <c r="G137" i="38"/>
  <c r="B137" i="40"/>
  <c r="F137" i="40"/>
  <c r="F144" i="22"/>
  <c r="B144" i="22"/>
  <c r="H146" i="11"/>
  <c r="I146" i="11"/>
  <c r="I139" i="28"/>
  <c r="H139" i="28"/>
  <c r="E148" i="10"/>
  <c r="B148" i="10"/>
  <c r="F148" i="10"/>
  <c r="E147" i="9"/>
  <c r="F147" i="9" s="1"/>
  <c r="B147" i="9"/>
  <c r="J140" i="29"/>
  <c r="B143" i="23"/>
  <c r="F143" i="23"/>
  <c r="B137" i="37"/>
  <c r="F137" i="37"/>
  <c r="H145" i="8"/>
  <c r="I145" i="8"/>
  <c r="F146" i="6"/>
  <c r="B146" i="6"/>
  <c r="F139" i="30"/>
  <c r="B139" i="30"/>
  <c r="I143" i="25"/>
  <c r="H143" i="25"/>
  <c r="B145" i="5"/>
  <c r="F145" i="5"/>
  <c r="H147" i="7"/>
  <c r="I147" i="7"/>
  <c r="J147" i="7" s="1"/>
  <c r="I146" i="9"/>
  <c r="H146" i="9"/>
  <c r="G141" i="29"/>
  <c r="E142" i="29"/>
  <c r="D142" i="29"/>
  <c r="D59" i="44"/>
  <c r="G58" i="44"/>
  <c r="H58" i="44"/>
  <c r="I58" i="44" s="1"/>
  <c r="D60" i="30"/>
  <c r="E60" i="30" s="1"/>
  <c r="H59" i="30"/>
  <c r="G59" i="30"/>
  <c r="D139" i="42"/>
  <c r="E139" i="42" s="1"/>
  <c r="G138" i="42"/>
  <c r="D69" i="10"/>
  <c r="E69" i="10" s="1"/>
  <c r="G68" i="10"/>
  <c r="H68" i="10"/>
  <c r="I68" i="10" s="1"/>
  <c r="D59" i="13"/>
  <c r="E59" i="13" s="1"/>
  <c r="H58" i="13"/>
  <c r="G58" i="13"/>
  <c r="D67" i="3"/>
  <c r="E67" i="3" s="1"/>
  <c r="H66" i="3"/>
  <c r="I66" i="3" s="1"/>
  <c r="G66" i="3"/>
  <c r="D58" i="43"/>
  <c r="E58" i="43" s="1"/>
  <c r="G57" i="43"/>
  <c r="H57" i="43"/>
  <c r="I57" i="43" s="1"/>
  <c r="D69" i="11"/>
  <c r="E69" i="11"/>
  <c r="G68" i="11"/>
  <c r="H68" i="11"/>
  <c r="B62" i="29"/>
  <c r="I56" i="42"/>
  <c r="D67" i="8"/>
  <c r="E67" i="8" s="1"/>
  <c r="D138" i="39"/>
  <c r="E138" i="39"/>
  <c r="G137" i="39"/>
  <c r="D70" i="9"/>
  <c r="E70" i="9"/>
  <c r="H136" i="41"/>
  <c r="I136" i="41"/>
  <c r="D63" i="27"/>
  <c r="E63" i="27"/>
  <c r="I57" i="37"/>
  <c r="B137" i="43"/>
  <c r="F137" i="43"/>
  <c r="H136" i="45"/>
  <c r="I136" i="45"/>
  <c r="B137" i="45"/>
  <c r="F137" i="45"/>
  <c r="F139" i="13"/>
  <c r="B139" i="13"/>
  <c r="G63" i="23"/>
  <c r="I63" i="23" s="1"/>
  <c r="F141" i="31"/>
  <c r="B141" i="31"/>
  <c r="I69" i="7"/>
  <c r="D58" i="38"/>
  <c r="E58" i="38"/>
  <c r="E58" i="40"/>
  <c r="D58" i="40"/>
  <c r="D59" i="39"/>
  <c r="D65" i="25"/>
  <c r="D70" i="7"/>
  <c r="E70" i="7" s="1"/>
  <c r="D58" i="41"/>
  <c r="E58" i="41" s="1"/>
  <c r="H56" i="45"/>
  <c r="I56" i="45" s="1"/>
  <c r="H64" i="25"/>
  <c r="D67" i="4"/>
  <c r="E67" i="4" s="1"/>
  <c r="H57" i="40"/>
  <c r="I57" i="40" s="1"/>
  <c r="D65" i="22"/>
  <c r="E65" i="22" s="1"/>
  <c r="G66" i="8"/>
  <c r="I140" i="31"/>
  <c r="H140" i="31"/>
  <c r="H137" i="44"/>
  <c r="I137" i="44"/>
  <c r="H138" i="13"/>
  <c r="I138" i="13"/>
  <c r="D64" i="23"/>
  <c r="E64" i="23" s="1"/>
  <c r="G57" i="40"/>
  <c r="B68" i="6"/>
  <c r="F68" i="6"/>
  <c r="G68" i="6" s="1"/>
  <c r="H68" i="6"/>
  <c r="G64" i="25"/>
  <c r="F60" i="31"/>
  <c r="H60" i="31" s="1"/>
  <c r="B60" i="31"/>
  <c r="E63" i="24"/>
  <c r="D63" i="24"/>
  <c r="H64" i="22"/>
  <c r="I64" i="22" s="1"/>
  <c r="G62" i="27"/>
  <c r="I62" i="27" s="1"/>
  <c r="H66" i="8"/>
  <c r="I66" i="8" s="1"/>
  <c r="D61" i="28"/>
  <c r="E61" i="28"/>
  <c r="B137" i="41"/>
  <c r="F137" i="41"/>
  <c r="H57" i="38"/>
  <c r="I57" i="38" s="1"/>
  <c r="I136" i="43"/>
  <c r="H136" i="43"/>
  <c r="E57" i="45"/>
  <c r="D57" i="45"/>
  <c r="D58" i="37"/>
  <c r="E58" i="37"/>
  <c r="E62" i="29"/>
  <c r="F62" i="29" s="1"/>
  <c r="D57" i="42"/>
  <c r="E57" i="42" s="1"/>
  <c r="I62" i="24"/>
  <c r="D67" i="5"/>
  <c r="E67" i="5" s="1"/>
  <c r="F138" i="44"/>
  <c r="B138" i="44"/>
  <c r="D148" i="9" l="1"/>
  <c r="G147" i="9"/>
  <c r="G148" i="7"/>
  <c r="D149" i="7"/>
  <c r="B149" i="7" s="1"/>
  <c r="G145" i="5"/>
  <c r="D146" i="5"/>
  <c r="J145" i="8"/>
  <c r="E144" i="23"/>
  <c r="G143" i="23"/>
  <c r="D144" i="23"/>
  <c r="D147" i="8"/>
  <c r="G146" i="8"/>
  <c r="J144" i="4"/>
  <c r="J140" i="27"/>
  <c r="D142" i="27"/>
  <c r="E142" i="27"/>
  <c r="G141" i="27"/>
  <c r="E140" i="30"/>
  <c r="D140" i="30"/>
  <c r="G139" i="30"/>
  <c r="H137" i="38"/>
  <c r="I137" i="38"/>
  <c r="D143" i="24"/>
  <c r="E143" i="24"/>
  <c r="G142" i="24"/>
  <c r="D138" i="37"/>
  <c r="G137" i="37"/>
  <c r="E138" i="37"/>
  <c r="G148" i="10"/>
  <c r="D149" i="10"/>
  <c r="B149" i="10" s="1"/>
  <c r="J139" i="28"/>
  <c r="D145" i="22"/>
  <c r="G144" i="22"/>
  <c r="E145" i="22"/>
  <c r="B138" i="38"/>
  <c r="F138" i="38"/>
  <c r="E141" i="28"/>
  <c r="D141" i="28"/>
  <c r="G140" i="28"/>
  <c r="G145" i="3"/>
  <c r="D146" i="3"/>
  <c r="D147" i="6"/>
  <c r="B147" i="6" s="1"/>
  <c r="G146" i="6"/>
  <c r="E138" i="40"/>
  <c r="G137" i="40"/>
  <c r="D138" i="40"/>
  <c r="G147" i="11"/>
  <c r="D148" i="11"/>
  <c r="E148" i="11" s="1"/>
  <c r="G144" i="25"/>
  <c r="E145" i="25"/>
  <c r="D145" i="25"/>
  <c r="G145" i="4"/>
  <c r="D146" i="4"/>
  <c r="B142" i="29"/>
  <c r="F142" i="29"/>
  <c r="J140" i="31"/>
  <c r="H141" i="29"/>
  <c r="I141" i="29"/>
  <c r="D63" i="29"/>
  <c r="E63" i="29" s="1"/>
  <c r="G62" i="29"/>
  <c r="H62" i="29"/>
  <c r="I62" i="29" s="1"/>
  <c r="B59" i="39"/>
  <c r="F138" i="39"/>
  <c r="B138" i="39"/>
  <c r="F67" i="5"/>
  <c r="B67" i="5"/>
  <c r="B64" i="23"/>
  <c r="F64" i="23"/>
  <c r="G67" i="4"/>
  <c r="H67" i="4"/>
  <c r="I67" i="4" s="1"/>
  <c r="B67" i="4"/>
  <c r="F67" i="4"/>
  <c r="D142" i="31"/>
  <c r="E142" i="31"/>
  <c r="G141" i="31"/>
  <c r="I59" i="30"/>
  <c r="G60" i="31"/>
  <c r="I60" i="31" s="1"/>
  <c r="I64" i="25"/>
  <c r="H67" i="8"/>
  <c r="B67" i="8"/>
  <c r="F67" i="8"/>
  <c r="I68" i="11"/>
  <c r="D138" i="41"/>
  <c r="G137" i="41"/>
  <c r="E138" i="41"/>
  <c r="F63" i="24"/>
  <c r="H63" i="24"/>
  <c r="B63" i="24"/>
  <c r="B58" i="40"/>
  <c r="F58" i="40"/>
  <c r="H58" i="40"/>
  <c r="I58" i="40" s="1"/>
  <c r="G58" i="40"/>
  <c r="B67" i="3"/>
  <c r="G67" i="3"/>
  <c r="F67" i="3"/>
  <c r="H67" i="3"/>
  <c r="B60" i="30"/>
  <c r="F60" i="30"/>
  <c r="G60" i="30"/>
  <c r="H60" i="30"/>
  <c r="I68" i="6"/>
  <c r="G65" i="22"/>
  <c r="B65" i="22"/>
  <c r="F65" i="22"/>
  <c r="B70" i="7"/>
  <c r="F70" i="7"/>
  <c r="D138" i="43"/>
  <c r="G137" i="43"/>
  <c r="E138" i="43"/>
  <c r="F58" i="43"/>
  <c r="G58" i="43" s="1"/>
  <c r="H58" i="43"/>
  <c r="B58" i="43"/>
  <c r="B69" i="10"/>
  <c r="F69" i="10"/>
  <c r="H69" i="10" s="1"/>
  <c r="I69" i="10" s="1"/>
  <c r="G69" i="10"/>
  <c r="B58" i="37"/>
  <c r="F58" i="37"/>
  <c r="H58" i="37"/>
  <c r="D69" i="6"/>
  <c r="E69" i="6"/>
  <c r="B65" i="25"/>
  <c r="G139" i="13"/>
  <c r="D140" i="13"/>
  <c r="E140" i="13" s="1"/>
  <c r="B63" i="27"/>
  <c r="F63" i="27"/>
  <c r="B70" i="9"/>
  <c r="F70" i="9"/>
  <c r="G70" i="9" s="1"/>
  <c r="F69" i="11"/>
  <c r="H69" i="11"/>
  <c r="B69" i="11"/>
  <c r="I58" i="13"/>
  <c r="I138" i="42"/>
  <c r="H138" i="42"/>
  <c r="D61" i="31"/>
  <c r="E61" i="31" s="1"/>
  <c r="D139" i="44"/>
  <c r="G138" i="44"/>
  <c r="B57" i="45"/>
  <c r="F57" i="45"/>
  <c r="F61" i="28"/>
  <c r="B61" i="28"/>
  <c r="E65" i="25"/>
  <c r="F65" i="25" s="1"/>
  <c r="B58" i="38"/>
  <c r="H58" i="38"/>
  <c r="F58" i="38"/>
  <c r="D138" i="45"/>
  <c r="E138" i="45" s="1"/>
  <c r="G137" i="45"/>
  <c r="H137" i="39"/>
  <c r="I137" i="39"/>
  <c r="F59" i="44"/>
  <c r="G59" i="44" s="1"/>
  <c r="B59" i="44"/>
  <c r="F57" i="42"/>
  <c r="G57" i="42"/>
  <c r="H57" i="42"/>
  <c r="B57" i="42"/>
  <c r="B58" i="41"/>
  <c r="F58" i="41"/>
  <c r="G58" i="41"/>
  <c r="E59" i="39"/>
  <c r="F59" i="39" s="1"/>
  <c r="B59" i="13"/>
  <c r="F59" i="13"/>
  <c r="F139" i="42"/>
  <c r="B139" i="42"/>
  <c r="E59" i="44"/>
  <c r="B145" i="25" l="1"/>
  <c r="F145" i="25"/>
  <c r="E146" i="3"/>
  <c r="F146" i="3" s="1"/>
  <c r="B146" i="3"/>
  <c r="I144" i="22"/>
  <c r="H144" i="22"/>
  <c r="F138" i="37"/>
  <c r="B138" i="37"/>
  <c r="B147" i="8"/>
  <c r="B146" i="4"/>
  <c r="I147" i="11"/>
  <c r="H147" i="11"/>
  <c r="E147" i="6"/>
  <c r="F147" i="6" s="1"/>
  <c r="I145" i="3"/>
  <c r="J145" i="3" s="1"/>
  <c r="H145" i="3"/>
  <c r="D139" i="38"/>
  <c r="G138" i="38"/>
  <c r="E139" i="38"/>
  <c r="B145" i="22"/>
  <c r="F145" i="22"/>
  <c r="H148" i="10"/>
  <c r="I148" i="10"/>
  <c r="J148" i="10" s="1"/>
  <c r="H142" i="24"/>
  <c r="I142" i="24"/>
  <c r="I141" i="27"/>
  <c r="H141" i="27"/>
  <c r="B144" i="23"/>
  <c r="F144" i="23"/>
  <c r="E146" i="5"/>
  <c r="F146" i="5"/>
  <c r="B146" i="5"/>
  <c r="I148" i="7"/>
  <c r="J148" i="7" s="1"/>
  <c r="H148" i="7"/>
  <c r="E146" i="4"/>
  <c r="F146" i="4" s="1"/>
  <c r="H144" i="25"/>
  <c r="I144" i="25"/>
  <c r="B138" i="40"/>
  <c r="F138" i="40"/>
  <c r="H146" i="6"/>
  <c r="I146" i="6"/>
  <c r="J146" i="6" s="1"/>
  <c r="H140" i="28"/>
  <c r="I140" i="28"/>
  <c r="I139" i="30"/>
  <c r="H139" i="30"/>
  <c r="H146" i="8"/>
  <c r="I146" i="8"/>
  <c r="H143" i="23"/>
  <c r="I143" i="23"/>
  <c r="I145" i="5"/>
  <c r="J145" i="5" s="1"/>
  <c r="H145" i="5"/>
  <c r="H147" i="9"/>
  <c r="I147" i="9"/>
  <c r="H145" i="4"/>
  <c r="I145" i="4"/>
  <c r="F148" i="11"/>
  <c r="B148" i="11"/>
  <c r="H137" i="40"/>
  <c r="I137" i="40"/>
  <c r="B141" i="28"/>
  <c r="F141" i="28"/>
  <c r="E149" i="10"/>
  <c r="F149" i="10" s="1"/>
  <c r="H137" i="37"/>
  <c r="I137" i="37"/>
  <c r="B143" i="24"/>
  <c r="F143" i="24"/>
  <c r="F140" i="30"/>
  <c r="B140" i="30"/>
  <c r="B142" i="27"/>
  <c r="F142" i="27"/>
  <c r="E147" i="8"/>
  <c r="F147" i="8" s="1"/>
  <c r="E149" i="7"/>
  <c r="F149" i="7" s="1"/>
  <c r="E148" i="9"/>
  <c r="F148" i="9" s="1"/>
  <c r="B148" i="9"/>
  <c r="D143" i="29"/>
  <c r="E143" i="29"/>
  <c r="G142" i="29"/>
  <c r="J141" i="29"/>
  <c r="D66" i="25"/>
  <c r="H65" i="25"/>
  <c r="I65" i="25" s="1"/>
  <c r="G65" i="25"/>
  <c r="D60" i="39"/>
  <c r="G59" i="39"/>
  <c r="H59" i="39"/>
  <c r="B139" i="44"/>
  <c r="D64" i="27"/>
  <c r="E64" i="27" s="1"/>
  <c r="I58" i="43"/>
  <c r="E71" i="7"/>
  <c r="D71" i="7"/>
  <c r="E68" i="5"/>
  <c r="D68" i="5"/>
  <c r="D62" i="28"/>
  <c r="D140" i="42"/>
  <c r="G139" i="42"/>
  <c r="H61" i="28"/>
  <c r="D70" i="11"/>
  <c r="D59" i="37"/>
  <c r="E59" i="37" s="1"/>
  <c r="D64" i="24"/>
  <c r="E64" i="24"/>
  <c r="H141" i="31"/>
  <c r="I141" i="31"/>
  <c r="G67" i="5"/>
  <c r="H137" i="45"/>
  <c r="I137" i="45"/>
  <c r="F61" i="31"/>
  <c r="B61" i="31"/>
  <c r="G63" i="27"/>
  <c r="D59" i="43"/>
  <c r="E59" i="43" s="1"/>
  <c r="I60" i="30"/>
  <c r="D65" i="23"/>
  <c r="E60" i="13"/>
  <c r="D60" i="13"/>
  <c r="D58" i="45"/>
  <c r="E58" i="45"/>
  <c r="H63" i="27"/>
  <c r="I63" i="27" s="1"/>
  <c r="H137" i="41"/>
  <c r="I137" i="41"/>
  <c r="B142" i="31"/>
  <c r="F142" i="31"/>
  <c r="F63" i="29"/>
  <c r="B63" i="29"/>
  <c r="H63" i="29"/>
  <c r="I63" i="29" s="1"/>
  <c r="G63" i="29"/>
  <c r="F138" i="45"/>
  <c r="B138" i="45"/>
  <c r="D59" i="41"/>
  <c r="E59" i="41"/>
  <c r="I57" i="42"/>
  <c r="D59" i="38"/>
  <c r="E59" i="38"/>
  <c r="G57" i="45"/>
  <c r="B69" i="6"/>
  <c r="F69" i="6"/>
  <c r="H69" i="6"/>
  <c r="H137" i="43"/>
  <c r="I137" i="43"/>
  <c r="D61" i="30"/>
  <c r="E61" i="30"/>
  <c r="D59" i="40"/>
  <c r="B138" i="41"/>
  <c r="F138" i="41"/>
  <c r="H64" i="23"/>
  <c r="D60" i="44"/>
  <c r="G61" i="28"/>
  <c r="G59" i="13"/>
  <c r="H57" i="45"/>
  <c r="I57" i="45" s="1"/>
  <c r="D71" i="9"/>
  <c r="F140" i="13"/>
  <c r="B140" i="13"/>
  <c r="D70" i="10"/>
  <c r="F138" i="43"/>
  <c r="B138" i="43"/>
  <c r="D66" i="22"/>
  <c r="G64" i="23"/>
  <c r="D58" i="42"/>
  <c r="H138" i="44"/>
  <c r="I138" i="44"/>
  <c r="G69" i="11"/>
  <c r="I69" i="11" s="1"/>
  <c r="H70" i="9"/>
  <c r="I70" i="9" s="1"/>
  <c r="H139" i="13"/>
  <c r="I139" i="13"/>
  <c r="G70" i="7"/>
  <c r="I67" i="3"/>
  <c r="D68" i="8"/>
  <c r="E68" i="8"/>
  <c r="D68" i="4"/>
  <c r="D139" i="39"/>
  <c r="G138" i="39"/>
  <c r="E139" i="39"/>
  <c r="H59" i="13"/>
  <c r="I59" i="13" s="1"/>
  <c r="H58" i="41"/>
  <c r="I58" i="41" s="1"/>
  <c r="H59" i="44"/>
  <c r="I59" i="44" s="1"/>
  <c r="G58" i="38"/>
  <c r="I58" i="38" s="1"/>
  <c r="E139" i="44"/>
  <c r="F139" i="44" s="1"/>
  <c r="G58" i="37"/>
  <c r="I58" i="37" s="1"/>
  <c r="H70" i="7"/>
  <c r="H65" i="22"/>
  <c r="I65" i="22" s="1"/>
  <c r="D68" i="3"/>
  <c r="G63" i="24"/>
  <c r="I63" i="24" s="1"/>
  <c r="G67" i="8"/>
  <c r="I67" i="8" s="1"/>
  <c r="H67" i="5"/>
  <c r="G148" i="9" l="1"/>
  <c r="D149" i="9"/>
  <c r="B149" i="9" s="1"/>
  <c r="G146" i="3"/>
  <c r="D147" i="3"/>
  <c r="G146" i="4"/>
  <c r="D147" i="4"/>
  <c r="D148" i="8"/>
  <c r="B148" i="8" s="1"/>
  <c r="G147" i="8"/>
  <c r="E148" i="8"/>
  <c r="F148" i="8" s="1"/>
  <c r="E143" i="27"/>
  <c r="G142" i="27"/>
  <c r="D143" i="27"/>
  <c r="D144" i="24"/>
  <c r="E144" i="24"/>
  <c r="G143" i="24"/>
  <c r="D150" i="10"/>
  <c r="G149" i="10"/>
  <c r="J141" i="27"/>
  <c r="H138" i="38"/>
  <c r="I138" i="38"/>
  <c r="G147" i="6"/>
  <c r="D148" i="6"/>
  <c r="B148" i="6" s="1"/>
  <c r="E139" i="37"/>
  <c r="D139" i="37"/>
  <c r="G138" i="37"/>
  <c r="G141" i="28"/>
  <c r="D142" i="28"/>
  <c r="E142" i="28"/>
  <c r="G144" i="23"/>
  <c r="D145" i="23"/>
  <c r="D146" i="22"/>
  <c r="G145" i="22"/>
  <c r="B139" i="38"/>
  <c r="F139" i="38"/>
  <c r="G149" i="7"/>
  <c r="D150" i="7"/>
  <c r="G148" i="11"/>
  <c r="D149" i="11"/>
  <c r="J139" i="30"/>
  <c r="D146" i="25"/>
  <c r="G145" i="25"/>
  <c r="E146" i="25"/>
  <c r="G140" i="30"/>
  <c r="E141" i="30"/>
  <c r="D141" i="30"/>
  <c r="J145" i="4"/>
  <c r="J146" i="8"/>
  <c r="J140" i="28"/>
  <c r="G138" i="40"/>
  <c r="D139" i="40"/>
  <c r="E139" i="40"/>
  <c r="G146" i="5"/>
  <c r="D147" i="5"/>
  <c r="B143" i="29"/>
  <c r="F143" i="29"/>
  <c r="I142" i="29"/>
  <c r="H142" i="29"/>
  <c r="D140" i="44"/>
  <c r="E140" i="44" s="1"/>
  <c r="G139" i="44"/>
  <c r="B59" i="40"/>
  <c r="D62" i="31"/>
  <c r="E62" i="31"/>
  <c r="B70" i="11"/>
  <c r="B140" i="42"/>
  <c r="B66" i="25"/>
  <c r="B58" i="42"/>
  <c r="F60" i="44"/>
  <c r="B60" i="44"/>
  <c r="E60" i="44"/>
  <c r="D70" i="6"/>
  <c r="E70" i="6" s="1"/>
  <c r="F59" i="38"/>
  <c r="B59" i="38"/>
  <c r="H59" i="38"/>
  <c r="B65" i="23"/>
  <c r="E140" i="42"/>
  <c r="F140" i="42" s="1"/>
  <c r="E66" i="25"/>
  <c r="F66" i="25" s="1"/>
  <c r="B66" i="22"/>
  <c r="B71" i="9"/>
  <c r="D139" i="43"/>
  <c r="G138" i="43"/>
  <c r="E139" i="43"/>
  <c r="I64" i="23"/>
  <c r="G69" i="6"/>
  <c r="I69" i="6" s="1"/>
  <c r="D64" i="29"/>
  <c r="E64" i="29"/>
  <c r="E65" i="23"/>
  <c r="F65" i="23" s="1"/>
  <c r="I59" i="39"/>
  <c r="B70" i="10"/>
  <c r="F70" i="10"/>
  <c r="H70" i="10" s="1"/>
  <c r="B59" i="43"/>
  <c r="F59" i="43"/>
  <c r="I61" i="28"/>
  <c r="H64" i="27"/>
  <c r="F64" i="27"/>
  <c r="B64" i="27"/>
  <c r="B68" i="3"/>
  <c r="F61" i="30"/>
  <c r="H61" i="30" s="1"/>
  <c r="I61" i="30" s="1"/>
  <c r="G61" i="30"/>
  <c r="B61" i="30"/>
  <c r="F59" i="41"/>
  <c r="B59" i="41"/>
  <c r="B58" i="45"/>
  <c r="G58" i="45"/>
  <c r="F58" i="45"/>
  <c r="H58" i="45"/>
  <c r="F64" i="24"/>
  <c r="B64" i="24"/>
  <c r="H64" i="24"/>
  <c r="B62" i="28"/>
  <c r="B60" i="39"/>
  <c r="B68" i="4"/>
  <c r="F68" i="8"/>
  <c r="G68" i="8"/>
  <c r="H68" i="8"/>
  <c r="B68" i="8"/>
  <c r="E70" i="10"/>
  <c r="E68" i="3"/>
  <c r="F68" i="3" s="1"/>
  <c r="I138" i="39"/>
  <c r="H138" i="39"/>
  <c r="G138" i="41"/>
  <c r="D139" i="41"/>
  <c r="E139" i="41"/>
  <c r="H60" i="13"/>
  <c r="B60" i="13"/>
  <c r="F60" i="13"/>
  <c r="E62" i="28"/>
  <c r="F62" i="28" s="1"/>
  <c r="E60" i="39"/>
  <c r="F60" i="39" s="1"/>
  <c r="B139" i="39"/>
  <c r="F139" i="39"/>
  <c r="G140" i="13"/>
  <c r="D141" i="13"/>
  <c r="G138" i="45"/>
  <c r="D139" i="45"/>
  <c r="E139" i="45" s="1"/>
  <c r="H61" i="31"/>
  <c r="J141" i="31"/>
  <c r="F59" i="37"/>
  <c r="H59" i="37" s="1"/>
  <c r="I59" i="37" s="1"/>
  <c r="G59" i="37"/>
  <c r="B59" i="37"/>
  <c r="F68" i="5"/>
  <c r="H68" i="5"/>
  <c r="B68" i="5"/>
  <c r="B71" i="7"/>
  <c r="G71" i="7"/>
  <c r="F71" i="7"/>
  <c r="I70" i="7"/>
  <c r="E68" i="4"/>
  <c r="F68" i="4" s="1"/>
  <c r="E58" i="42"/>
  <c r="F58" i="42" s="1"/>
  <c r="E66" i="22"/>
  <c r="F66" i="22" s="1"/>
  <c r="E71" i="9"/>
  <c r="F71" i="9" s="1"/>
  <c r="E59" i="40"/>
  <c r="F59" i="40" s="1"/>
  <c r="E143" i="31"/>
  <c r="D143" i="31"/>
  <c r="G142" i="31"/>
  <c r="G61" i="31"/>
  <c r="E70" i="11"/>
  <c r="F70" i="11" s="1"/>
  <c r="H139" i="42"/>
  <c r="I139" i="42"/>
  <c r="E147" i="5" l="1"/>
  <c r="B147" i="5"/>
  <c r="F147" i="5"/>
  <c r="H138" i="40"/>
  <c r="I138" i="40"/>
  <c r="F141" i="30"/>
  <c r="B141" i="30"/>
  <c r="H145" i="25"/>
  <c r="I145" i="25"/>
  <c r="H148" i="11"/>
  <c r="I148" i="11"/>
  <c r="E145" i="23"/>
  <c r="F145" i="23" s="1"/>
  <c r="B145" i="23"/>
  <c r="I141" i="28"/>
  <c r="H141" i="28"/>
  <c r="E148" i="6"/>
  <c r="F148" i="6" s="1"/>
  <c r="H143" i="24"/>
  <c r="I143" i="24"/>
  <c r="I142" i="27"/>
  <c r="J142" i="27" s="1"/>
  <c r="H142" i="27"/>
  <c r="H146" i="3"/>
  <c r="I146" i="3"/>
  <c r="J146" i="3" s="1"/>
  <c r="I146" i="5"/>
  <c r="J146" i="5" s="1"/>
  <c r="H146" i="5"/>
  <c r="B146" i="25"/>
  <c r="F146" i="25"/>
  <c r="E150" i="7"/>
  <c r="F150" i="7" s="1"/>
  <c r="B150" i="7"/>
  <c r="H145" i="22"/>
  <c r="I145" i="22"/>
  <c r="H144" i="23"/>
  <c r="I144" i="23"/>
  <c r="H138" i="37"/>
  <c r="I138" i="37"/>
  <c r="E147" i="4"/>
  <c r="F147" i="4"/>
  <c r="B147" i="4"/>
  <c r="E149" i="9"/>
  <c r="F149" i="9" s="1"/>
  <c r="H140" i="30"/>
  <c r="I140" i="30"/>
  <c r="J140" i="30" s="1"/>
  <c r="H149" i="7"/>
  <c r="I149" i="7"/>
  <c r="J149" i="7" s="1"/>
  <c r="B146" i="22"/>
  <c r="F139" i="37"/>
  <c r="B139" i="37"/>
  <c r="H147" i="6"/>
  <c r="I147" i="6"/>
  <c r="J147" i="6" s="1"/>
  <c r="I149" i="10"/>
  <c r="H149" i="10"/>
  <c r="F144" i="24"/>
  <c r="B144" i="24"/>
  <c r="G148" i="8"/>
  <c r="D149" i="8"/>
  <c r="H146" i="4"/>
  <c r="I146" i="4"/>
  <c r="J146" i="4" s="1"/>
  <c r="F139" i="40"/>
  <c r="B139" i="40"/>
  <c r="E149" i="11"/>
  <c r="B149" i="11"/>
  <c r="F149" i="11"/>
  <c r="E140" i="38"/>
  <c r="G139" i="38"/>
  <c r="D140" i="38"/>
  <c r="E146" i="22"/>
  <c r="F146" i="22" s="1"/>
  <c r="B142" i="28"/>
  <c r="F142" i="28"/>
  <c r="E150" i="10"/>
  <c r="F150" i="10" s="1"/>
  <c r="B150" i="10"/>
  <c r="B143" i="27"/>
  <c r="F143" i="27"/>
  <c r="H147" i="8"/>
  <c r="I147" i="8"/>
  <c r="J147" i="8" s="1"/>
  <c r="E147" i="3"/>
  <c r="F147" i="3"/>
  <c r="B147" i="3"/>
  <c r="I148" i="9"/>
  <c r="H148" i="9"/>
  <c r="J142" i="29"/>
  <c r="E144" i="29"/>
  <c r="G143" i="29"/>
  <c r="D144" i="29"/>
  <c r="E60" i="40"/>
  <c r="D60" i="40"/>
  <c r="H59" i="40"/>
  <c r="G59" i="40"/>
  <c r="D66" i="23"/>
  <c r="E66" i="23" s="1"/>
  <c r="G65" i="23"/>
  <c r="H65" i="23"/>
  <c r="I65" i="23" s="1"/>
  <c r="D67" i="25"/>
  <c r="E67" i="25" s="1"/>
  <c r="G66" i="25"/>
  <c r="H66" i="25"/>
  <c r="I66" i="25" s="1"/>
  <c r="D71" i="11"/>
  <c r="E71" i="11" s="1"/>
  <c r="H70" i="11"/>
  <c r="G70" i="11"/>
  <c r="D69" i="3"/>
  <c r="G68" i="3"/>
  <c r="H68" i="3"/>
  <c r="I68" i="3" s="1"/>
  <c r="D141" i="42"/>
  <c r="E141" i="42" s="1"/>
  <c r="G140" i="42"/>
  <c r="D67" i="22"/>
  <c r="E67" i="22"/>
  <c r="G66" i="22"/>
  <c r="H66" i="22"/>
  <c r="D69" i="4"/>
  <c r="G68" i="4"/>
  <c r="H68" i="4"/>
  <c r="I68" i="4" s="1"/>
  <c r="D61" i="39"/>
  <c r="E61" i="39"/>
  <c r="H60" i="39"/>
  <c r="I60" i="39" s="1"/>
  <c r="G60" i="39"/>
  <c r="D72" i="9"/>
  <c r="E72" i="9"/>
  <c r="E73" i="9" s="1"/>
  <c r="H71" i="9"/>
  <c r="I71" i="9" s="1"/>
  <c r="G71" i="9"/>
  <c r="D59" i="42"/>
  <c r="E59" i="42" s="1"/>
  <c r="G58" i="42"/>
  <c r="H58" i="42"/>
  <c r="I58" i="42" s="1"/>
  <c r="D63" i="28"/>
  <c r="E63" i="28"/>
  <c r="G62" i="28"/>
  <c r="H62" i="28"/>
  <c r="H140" i="13"/>
  <c r="I140" i="13"/>
  <c r="I68" i="8"/>
  <c r="E60" i="41"/>
  <c r="D60" i="41"/>
  <c r="D65" i="27"/>
  <c r="E65" i="27"/>
  <c r="I138" i="43"/>
  <c r="H138" i="43"/>
  <c r="I64" i="24"/>
  <c r="D71" i="10"/>
  <c r="F139" i="43"/>
  <c r="B139" i="43"/>
  <c r="B70" i="6"/>
  <c r="F70" i="6"/>
  <c r="H70" i="6"/>
  <c r="E61" i="44"/>
  <c r="D61" i="44"/>
  <c r="B143" i="31"/>
  <c r="F143" i="31"/>
  <c r="D69" i="8"/>
  <c r="E69" i="8"/>
  <c r="G64" i="27"/>
  <c r="I64" i="27" s="1"/>
  <c r="G70" i="10"/>
  <c r="I70" i="10" s="1"/>
  <c r="B139" i="41"/>
  <c r="F139" i="41"/>
  <c r="D65" i="24"/>
  <c r="E65" i="24" s="1"/>
  <c r="I139" i="44"/>
  <c r="H139" i="44"/>
  <c r="I142" i="31"/>
  <c r="J142" i="31" s="1"/>
  <c r="H142" i="31"/>
  <c r="D69" i="5"/>
  <c r="F139" i="45"/>
  <c r="B139" i="45"/>
  <c r="I138" i="41"/>
  <c r="H138" i="41"/>
  <c r="G64" i="24"/>
  <c r="D62" i="30"/>
  <c r="E62" i="30"/>
  <c r="D60" i="43"/>
  <c r="E60" i="43" s="1"/>
  <c r="F64" i="29"/>
  <c r="H64" i="29" s="1"/>
  <c r="B64" i="29"/>
  <c r="B140" i="44"/>
  <c r="F140" i="44"/>
  <c r="G68" i="5"/>
  <c r="I61" i="31"/>
  <c r="H138" i="45"/>
  <c r="I138" i="45"/>
  <c r="G59" i="41"/>
  <c r="H59" i="43"/>
  <c r="F62" i="31"/>
  <c r="B62" i="31"/>
  <c r="D60" i="37"/>
  <c r="E60" i="37" s="1"/>
  <c r="B141" i="13"/>
  <c r="D61" i="13"/>
  <c r="E61" i="13"/>
  <c r="I58" i="45"/>
  <c r="G59" i="43"/>
  <c r="D60" i="38"/>
  <c r="E60" i="38" s="1"/>
  <c r="H60" i="44"/>
  <c r="I60" i="44" s="1"/>
  <c r="E140" i="39"/>
  <c r="D140" i="39"/>
  <c r="G139" i="39"/>
  <c r="D72" i="7"/>
  <c r="E72" i="7" s="1"/>
  <c r="E73" i="7" s="1"/>
  <c r="H71" i="7"/>
  <c r="I71" i="7" s="1"/>
  <c r="E141" i="13"/>
  <c r="F141" i="13" s="1"/>
  <c r="G60" i="13"/>
  <c r="I60" i="13" s="1"/>
  <c r="D59" i="45"/>
  <c r="E59" i="45"/>
  <c r="H59" i="41"/>
  <c r="I59" i="41" s="1"/>
  <c r="G59" i="38"/>
  <c r="I59" i="38" s="1"/>
  <c r="G60" i="44"/>
  <c r="D147" i="22" l="1"/>
  <c r="E147" i="22" s="1"/>
  <c r="G146" i="22"/>
  <c r="G145" i="23"/>
  <c r="D146" i="23"/>
  <c r="B146" i="23" s="1"/>
  <c r="G150" i="10"/>
  <c r="D151" i="10"/>
  <c r="E151" i="10"/>
  <c r="G150" i="7"/>
  <c r="D151" i="7"/>
  <c r="E151" i="7" s="1"/>
  <c r="B149" i="8"/>
  <c r="E149" i="8"/>
  <c r="F149" i="8" s="1"/>
  <c r="G149" i="9"/>
  <c r="D150" i="9"/>
  <c r="G149" i="11"/>
  <c r="D150" i="11"/>
  <c r="G139" i="40"/>
  <c r="D140" i="40"/>
  <c r="E140" i="40"/>
  <c r="H148" i="8"/>
  <c r="I148" i="8"/>
  <c r="J148" i="8" s="1"/>
  <c r="J149" i="10"/>
  <c r="G139" i="37"/>
  <c r="D140" i="37"/>
  <c r="E140" i="37"/>
  <c r="D147" i="25"/>
  <c r="B147" i="25" s="1"/>
  <c r="G146" i="25"/>
  <c r="J141" i="28"/>
  <c r="D148" i="5"/>
  <c r="G147" i="5"/>
  <c r="D148" i="3"/>
  <c r="B148" i="3" s="1"/>
  <c r="G147" i="3"/>
  <c r="E148" i="3"/>
  <c r="F148" i="3" s="1"/>
  <c r="E144" i="27"/>
  <c r="D144" i="27"/>
  <c r="G143" i="27"/>
  <c r="B140" i="38"/>
  <c r="F140" i="38"/>
  <c r="G147" i="4"/>
  <c r="D148" i="4"/>
  <c r="B148" i="4" s="1"/>
  <c r="E148" i="4"/>
  <c r="F148" i="4" s="1"/>
  <c r="E142" i="30"/>
  <c r="G141" i="30"/>
  <c r="D142" i="30"/>
  <c r="D143" i="28"/>
  <c r="G142" i="28"/>
  <c r="E143" i="28"/>
  <c r="I139" i="38"/>
  <c r="H139" i="38"/>
  <c r="D145" i="24"/>
  <c r="E145" i="24"/>
  <c r="G144" i="24"/>
  <c r="D149" i="6"/>
  <c r="B149" i="6" s="1"/>
  <c r="G148" i="6"/>
  <c r="F144" i="29"/>
  <c r="B144" i="29"/>
  <c r="H143" i="29"/>
  <c r="I143" i="29"/>
  <c r="J143" i="29" s="1"/>
  <c r="G141" i="13"/>
  <c r="D142" i="13"/>
  <c r="B71" i="10"/>
  <c r="B69" i="3"/>
  <c r="D63" i="31"/>
  <c r="E63" i="31" s="1"/>
  <c r="B60" i="43"/>
  <c r="F60" i="43"/>
  <c r="H60" i="43" s="1"/>
  <c r="G143" i="31"/>
  <c r="E144" i="31"/>
  <c r="D144" i="31"/>
  <c r="B61" i="39"/>
  <c r="F61" i="39"/>
  <c r="F67" i="22"/>
  <c r="H67" i="22" s="1"/>
  <c r="B67" i="22"/>
  <c r="H62" i="31"/>
  <c r="D71" i="6"/>
  <c r="E71" i="6"/>
  <c r="G65" i="27"/>
  <c r="F65" i="27"/>
  <c r="H65" i="27" s="1"/>
  <c r="I65" i="27" s="1"/>
  <c r="B65" i="27"/>
  <c r="B63" i="28"/>
  <c r="F63" i="28"/>
  <c r="H72" i="9"/>
  <c r="B72" i="9"/>
  <c r="F72" i="9"/>
  <c r="G72" i="9" s="1"/>
  <c r="G73" i="9" s="1"/>
  <c r="I140" i="42"/>
  <c r="H140" i="42"/>
  <c r="B140" i="39"/>
  <c r="F140" i="39"/>
  <c r="F61" i="13"/>
  <c r="B61" i="13"/>
  <c r="H61" i="13"/>
  <c r="G62" i="31"/>
  <c r="B62" i="30"/>
  <c r="H62" i="30"/>
  <c r="I62" i="30" s="1"/>
  <c r="G62" i="30"/>
  <c r="F62" i="30"/>
  <c r="G70" i="6"/>
  <c r="I70" i="6" s="1"/>
  <c r="F66" i="23"/>
  <c r="H66" i="23" s="1"/>
  <c r="I66" i="23" s="1"/>
  <c r="B66" i="23"/>
  <c r="G66" i="23"/>
  <c r="G139" i="45"/>
  <c r="D140" i="45"/>
  <c r="E140" i="45" s="1"/>
  <c r="B69" i="4"/>
  <c r="F141" i="42"/>
  <c r="B141" i="42"/>
  <c r="B72" i="7"/>
  <c r="F72" i="7"/>
  <c r="H72" i="7" s="1"/>
  <c r="B59" i="45"/>
  <c r="F59" i="45"/>
  <c r="G59" i="45"/>
  <c r="G64" i="29"/>
  <c r="I64" i="29" s="1"/>
  <c r="B69" i="5"/>
  <c r="G69" i="8"/>
  <c r="F69" i="8"/>
  <c r="B69" i="8"/>
  <c r="H69" i="8"/>
  <c r="I69" i="8" s="1"/>
  <c r="E69" i="4"/>
  <c r="F69" i="4" s="1"/>
  <c r="I70" i="11"/>
  <c r="I59" i="40"/>
  <c r="G60" i="38"/>
  <c r="F60" i="38"/>
  <c r="H60" i="38"/>
  <c r="I60" i="38" s="1"/>
  <c r="B60" i="38"/>
  <c r="E69" i="5"/>
  <c r="F69" i="5" s="1"/>
  <c r="B65" i="24"/>
  <c r="G65" i="24"/>
  <c r="F65" i="24"/>
  <c r="H65" i="24"/>
  <c r="I65" i="24" s="1"/>
  <c r="D140" i="43"/>
  <c r="G139" i="43"/>
  <c r="E140" i="43"/>
  <c r="B60" i="41"/>
  <c r="F60" i="41"/>
  <c r="H60" i="41" s="1"/>
  <c r="F59" i="42"/>
  <c r="H59" i="42"/>
  <c r="B59" i="42"/>
  <c r="G59" i="42"/>
  <c r="I66" i="22"/>
  <c r="B60" i="40"/>
  <c r="F60" i="40"/>
  <c r="H60" i="40" s="1"/>
  <c r="I60" i="40" s="1"/>
  <c r="G60" i="40"/>
  <c r="I139" i="39"/>
  <c r="H139" i="39"/>
  <c r="F60" i="37"/>
  <c r="H60" i="37"/>
  <c r="B60" i="37"/>
  <c r="I59" i="43"/>
  <c r="D141" i="44"/>
  <c r="G140" i="44"/>
  <c r="D65" i="29"/>
  <c r="D140" i="41"/>
  <c r="G139" i="41"/>
  <c r="E140" i="41"/>
  <c r="B61" i="44"/>
  <c r="F61" i="44"/>
  <c r="G61" i="44"/>
  <c r="E71" i="10"/>
  <c r="F71" i="10" s="1"/>
  <c r="I62" i="28"/>
  <c r="E69" i="3"/>
  <c r="F69" i="3" s="1"/>
  <c r="G71" i="11"/>
  <c r="F71" i="11"/>
  <c r="H71" i="11"/>
  <c r="I71" i="11" s="1"/>
  <c r="B71" i="11"/>
  <c r="F67" i="25"/>
  <c r="B67" i="25"/>
  <c r="F143" i="28" l="1"/>
  <c r="B143" i="28"/>
  <c r="D149" i="4"/>
  <c r="G148" i="4"/>
  <c r="D149" i="3"/>
  <c r="G148" i="3"/>
  <c r="E148" i="5"/>
  <c r="B148" i="5"/>
  <c r="F148" i="5"/>
  <c r="F140" i="40"/>
  <c r="B140" i="40"/>
  <c r="E150" i="9"/>
  <c r="B150" i="9"/>
  <c r="F150" i="9"/>
  <c r="B151" i="10"/>
  <c r="F151" i="10"/>
  <c r="I145" i="23"/>
  <c r="H145" i="23"/>
  <c r="H144" i="24"/>
  <c r="I144" i="24"/>
  <c r="B142" i="30"/>
  <c r="F142" i="30"/>
  <c r="I143" i="27"/>
  <c r="J143" i="27" s="1"/>
  <c r="H143" i="27"/>
  <c r="I147" i="3"/>
  <c r="J147" i="3" s="1"/>
  <c r="H147" i="3"/>
  <c r="I139" i="40"/>
  <c r="H139" i="40"/>
  <c r="I149" i="9"/>
  <c r="H149" i="9"/>
  <c r="F151" i="7"/>
  <c r="B151" i="7"/>
  <c r="I150" i="10"/>
  <c r="J150" i="10" s="1"/>
  <c r="H150" i="10"/>
  <c r="E149" i="6"/>
  <c r="F149" i="6" s="1"/>
  <c r="I141" i="30"/>
  <c r="H141" i="30"/>
  <c r="H147" i="4"/>
  <c r="I147" i="4"/>
  <c r="J147" i="4" s="1"/>
  <c r="B144" i="27"/>
  <c r="F144" i="27"/>
  <c r="E147" i="25"/>
  <c r="F147" i="25" s="1"/>
  <c r="F140" i="37"/>
  <c r="B140" i="37"/>
  <c r="E150" i="11"/>
  <c r="F150" i="11" s="1"/>
  <c r="B150" i="11"/>
  <c r="G149" i="8"/>
  <c r="D150" i="8"/>
  <c r="H150" i="7"/>
  <c r="I150" i="7"/>
  <c r="J150" i="7" s="1"/>
  <c r="E146" i="23"/>
  <c r="F146" i="23" s="1"/>
  <c r="H146" i="22"/>
  <c r="I146" i="22"/>
  <c r="I148" i="6"/>
  <c r="J148" i="6" s="1"/>
  <c r="H148" i="6"/>
  <c r="B145" i="24"/>
  <c r="F145" i="24"/>
  <c r="H142" i="28"/>
  <c r="I142" i="28"/>
  <c r="D141" i="38"/>
  <c r="E141" i="38"/>
  <c r="G140" i="38"/>
  <c r="H147" i="5"/>
  <c r="I147" i="5"/>
  <c r="J147" i="5" s="1"/>
  <c r="H146" i="25"/>
  <c r="I146" i="25"/>
  <c r="I139" i="37"/>
  <c r="H139" i="37"/>
  <c r="I149" i="11"/>
  <c r="H149" i="11"/>
  <c r="F147" i="22"/>
  <c r="B147" i="22"/>
  <c r="E145" i="29"/>
  <c r="G144" i="29"/>
  <c r="D145" i="29"/>
  <c r="H73" i="7"/>
  <c r="D70" i="3"/>
  <c r="E70" i="3" s="1"/>
  <c r="G69" i="3"/>
  <c r="H69" i="3"/>
  <c r="I69" i="3" s="1"/>
  <c r="D72" i="10"/>
  <c r="E72" i="10"/>
  <c r="E73" i="10" s="1"/>
  <c r="G71" i="10"/>
  <c r="H71" i="10"/>
  <c r="I71" i="10" s="1"/>
  <c r="E70" i="5"/>
  <c r="D70" i="5"/>
  <c r="G69" i="5"/>
  <c r="H69" i="5"/>
  <c r="D70" i="4"/>
  <c r="E70" i="4"/>
  <c r="H69" i="4"/>
  <c r="G69" i="4"/>
  <c r="G72" i="7"/>
  <c r="G73" i="7" s="1"/>
  <c r="I72" i="9"/>
  <c r="I73" i="9" s="1"/>
  <c r="H73" i="9"/>
  <c r="G67" i="22"/>
  <c r="I67" i="22" s="1"/>
  <c r="I139" i="43"/>
  <c r="H139" i="43"/>
  <c r="E64" i="28"/>
  <c r="D64" i="28"/>
  <c r="F144" i="31"/>
  <c r="B144" i="31"/>
  <c r="D61" i="43"/>
  <c r="E61" i="43"/>
  <c r="D68" i="25"/>
  <c r="E68" i="25" s="1"/>
  <c r="D62" i="44"/>
  <c r="E62" i="44"/>
  <c r="I59" i="42"/>
  <c r="F140" i="43"/>
  <c r="B140" i="43"/>
  <c r="D70" i="8"/>
  <c r="D62" i="13"/>
  <c r="E62" i="13"/>
  <c r="F71" i="6"/>
  <c r="H71" i="6"/>
  <c r="B71" i="6"/>
  <c r="G71" i="6"/>
  <c r="G60" i="43"/>
  <c r="I60" i="43" s="1"/>
  <c r="B65" i="29"/>
  <c r="D60" i="42"/>
  <c r="D141" i="39"/>
  <c r="G140" i="39"/>
  <c r="E141" i="39"/>
  <c r="G63" i="28"/>
  <c r="D68" i="22"/>
  <c r="E68" i="22" s="1"/>
  <c r="I143" i="31"/>
  <c r="H143" i="31"/>
  <c r="B142" i="13"/>
  <c r="D61" i="37"/>
  <c r="E61" i="37" s="1"/>
  <c r="B141" i="44"/>
  <c r="D72" i="11"/>
  <c r="H61" i="44"/>
  <c r="I61" i="44" s="1"/>
  <c r="E141" i="44"/>
  <c r="F141" i="44" s="1"/>
  <c r="E66" i="24"/>
  <c r="D66" i="24"/>
  <c r="D61" i="38"/>
  <c r="E61" i="38"/>
  <c r="E60" i="45"/>
  <c r="D60" i="45"/>
  <c r="G141" i="42"/>
  <c r="D142" i="42"/>
  <c r="E142" i="42" s="1"/>
  <c r="F140" i="45"/>
  <c r="B140" i="45"/>
  <c r="H63" i="28"/>
  <c r="I63" i="28" s="1"/>
  <c r="D62" i="39"/>
  <c r="E62" i="39"/>
  <c r="E142" i="13"/>
  <c r="F142" i="13" s="1"/>
  <c r="D61" i="40"/>
  <c r="E61" i="40" s="1"/>
  <c r="D61" i="41"/>
  <c r="E61" i="41" s="1"/>
  <c r="H139" i="45"/>
  <c r="I139" i="45"/>
  <c r="D67" i="23"/>
  <c r="E67" i="23" s="1"/>
  <c r="I62" i="31"/>
  <c r="H61" i="39"/>
  <c r="I61" i="39" s="1"/>
  <c r="I141" i="13"/>
  <c r="H141" i="13"/>
  <c r="E65" i="29"/>
  <c r="F65" i="29" s="1"/>
  <c r="H140" i="44"/>
  <c r="I140" i="44"/>
  <c r="I139" i="41"/>
  <c r="H139" i="41"/>
  <c r="G60" i="41"/>
  <c r="I60" i="41" s="1"/>
  <c r="H59" i="45"/>
  <c r="I59" i="45" s="1"/>
  <c r="D63" i="30"/>
  <c r="E63" i="30"/>
  <c r="G61" i="39"/>
  <c r="G67" i="25"/>
  <c r="H67" i="25"/>
  <c r="F140" i="41"/>
  <c r="B140" i="41"/>
  <c r="G60" i="37"/>
  <c r="I60" i="37" s="1"/>
  <c r="G61" i="13"/>
  <c r="I61" i="13" s="1"/>
  <c r="D66" i="27"/>
  <c r="F63" i="31"/>
  <c r="G63" i="31"/>
  <c r="B63" i="31"/>
  <c r="H63" i="31"/>
  <c r="I63" i="31" s="1"/>
  <c r="D151" i="11" l="1"/>
  <c r="B151" i="11" s="1"/>
  <c r="G150" i="11"/>
  <c r="E151" i="11"/>
  <c r="F151" i="11" s="1"/>
  <c r="D148" i="22"/>
  <c r="G147" i="22"/>
  <c r="J142" i="28"/>
  <c r="G146" i="23"/>
  <c r="D147" i="23"/>
  <c r="H149" i="8"/>
  <c r="I149" i="8"/>
  <c r="J141" i="30"/>
  <c r="G151" i="10"/>
  <c r="D152" i="10"/>
  <c r="E152" i="10" s="1"/>
  <c r="H148" i="4"/>
  <c r="I148" i="4"/>
  <c r="J148" i="4" s="1"/>
  <c r="H140" i="38"/>
  <c r="I140" i="38"/>
  <c r="E141" i="37"/>
  <c r="D141" i="37"/>
  <c r="G140" i="37"/>
  <c r="D150" i="6"/>
  <c r="B150" i="6" s="1"/>
  <c r="G149" i="6"/>
  <c r="E150" i="6"/>
  <c r="F150" i="6" s="1"/>
  <c r="D152" i="7"/>
  <c r="G151" i="7"/>
  <c r="E149" i="4"/>
  <c r="F149" i="4"/>
  <c r="B149" i="4"/>
  <c r="D146" i="24"/>
  <c r="G145" i="24"/>
  <c r="G147" i="25"/>
  <c r="D148" i="25"/>
  <c r="G142" i="30"/>
  <c r="E143" i="30"/>
  <c r="D143" i="30"/>
  <c r="G150" i="9"/>
  <c r="D151" i="9"/>
  <c r="D141" i="40"/>
  <c r="G140" i="40"/>
  <c r="E141" i="40"/>
  <c r="I148" i="3"/>
  <c r="J148" i="3" s="1"/>
  <c r="H148" i="3"/>
  <c r="F141" i="38"/>
  <c r="B141" i="38"/>
  <c r="E150" i="8"/>
  <c r="F150" i="8" s="1"/>
  <c r="B150" i="8"/>
  <c r="G144" i="27"/>
  <c r="D145" i="27"/>
  <c r="B145" i="27" s="1"/>
  <c r="G148" i="5"/>
  <c r="D149" i="5"/>
  <c r="E149" i="3"/>
  <c r="F149" i="3" s="1"/>
  <c r="B149" i="3"/>
  <c r="E144" i="28"/>
  <c r="G143" i="28"/>
  <c r="D144" i="28"/>
  <c r="J143" i="31"/>
  <c r="B145" i="29"/>
  <c r="F145" i="29"/>
  <c r="H144" i="29"/>
  <c r="I144" i="29"/>
  <c r="D66" i="29"/>
  <c r="E66" i="29" s="1"/>
  <c r="G65" i="29"/>
  <c r="H65" i="29"/>
  <c r="I65" i="29" s="1"/>
  <c r="G141" i="44"/>
  <c r="D142" i="44"/>
  <c r="E142" i="44" s="1"/>
  <c r="G142" i="13"/>
  <c r="D143" i="13"/>
  <c r="B70" i="8"/>
  <c r="H61" i="37"/>
  <c r="I61" i="37" s="1"/>
  <c r="F61" i="37"/>
  <c r="B61" i="37"/>
  <c r="G61" i="37"/>
  <c r="B68" i="22"/>
  <c r="F68" i="22"/>
  <c r="B60" i="42"/>
  <c r="B62" i="13"/>
  <c r="F62" i="13"/>
  <c r="H62" i="13" s="1"/>
  <c r="I62" i="13" s="1"/>
  <c r="G62" i="13"/>
  <c r="E60" i="42"/>
  <c r="F60" i="42" s="1"/>
  <c r="G140" i="43"/>
  <c r="D141" i="43"/>
  <c r="E141" i="43"/>
  <c r="I69" i="4"/>
  <c r="D64" i="31"/>
  <c r="E64" i="31" s="1"/>
  <c r="D141" i="41"/>
  <c r="G140" i="41"/>
  <c r="E141" i="41"/>
  <c r="D141" i="45"/>
  <c r="E141" i="45" s="1"/>
  <c r="G140" i="45"/>
  <c r="I71" i="6"/>
  <c r="F61" i="43"/>
  <c r="G61" i="43"/>
  <c r="B61" i="43"/>
  <c r="H61" i="43"/>
  <c r="I61" i="43" s="1"/>
  <c r="I67" i="25"/>
  <c r="B72" i="11"/>
  <c r="I140" i="39"/>
  <c r="H140" i="39"/>
  <c r="E72" i="6"/>
  <c r="E73" i="6" s="1"/>
  <c r="D72" i="6"/>
  <c r="B70" i="4"/>
  <c r="F70" i="4"/>
  <c r="H70" i="4" s="1"/>
  <c r="H72" i="10"/>
  <c r="B72" i="10"/>
  <c r="F72" i="10"/>
  <c r="G72" i="10" s="1"/>
  <c r="G73" i="10" s="1"/>
  <c r="B66" i="27"/>
  <c r="B61" i="41"/>
  <c r="F61" i="41"/>
  <c r="G61" i="41"/>
  <c r="B142" i="42"/>
  <c r="F142" i="42"/>
  <c r="F61" i="38"/>
  <c r="G61" i="38" s="1"/>
  <c r="H61" i="38"/>
  <c r="B61" i="38"/>
  <c r="E72" i="11"/>
  <c r="E73" i="11" s="1"/>
  <c r="B141" i="39"/>
  <c r="F141" i="39"/>
  <c r="G62" i="44"/>
  <c r="F62" i="44"/>
  <c r="B62" i="44"/>
  <c r="E145" i="31"/>
  <c r="G144" i="31"/>
  <c r="D145" i="31"/>
  <c r="F70" i="3"/>
  <c r="B70" i="3"/>
  <c r="H70" i="3"/>
  <c r="G70" i="3"/>
  <c r="E66" i="27"/>
  <c r="F66" i="27" s="1"/>
  <c r="H63" i="30"/>
  <c r="B63" i="30"/>
  <c r="F63" i="30"/>
  <c r="G63" i="30"/>
  <c r="F62" i="39"/>
  <c r="H62" i="39" s="1"/>
  <c r="B62" i="39"/>
  <c r="I141" i="42"/>
  <c r="H141" i="42"/>
  <c r="B66" i="24"/>
  <c r="F66" i="24"/>
  <c r="H66" i="24" s="1"/>
  <c r="F64" i="28"/>
  <c r="G64" i="28" s="1"/>
  <c r="B64" i="28"/>
  <c r="H64" i="28"/>
  <c r="F67" i="23"/>
  <c r="G67" i="23" s="1"/>
  <c r="B67" i="23"/>
  <c r="H67" i="23"/>
  <c r="B61" i="40"/>
  <c r="F61" i="40"/>
  <c r="H61" i="40"/>
  <c r="H60" i="45"/>
  <c r="F60" i="45"/>
  <c r="B60" i="45"/>
  <c r="G60" i="45"/>
  <c r="E70" i="8"/>
  <c r="F70" i="8" s="1"/>
  <c r="B68" i="25"/>
  <c r="H68" i="25"/>
  <c r="F68" i="25"/>
  <c r="G68" i="25" s="1"/>
  <c r="F70" i="5"/>
  <c r="G70" i="5" s="1"/>
  <c r="B70" i="5"/>
  <c r="I72" i="7"/>
  <c r="I73" i="7" s="1"/>
  <c r="D150" i="3" l="1"/>
  <c r="G149" i="3"/>
  <c r="E149" i="5"/>
  <c r="B149" i="5"/>
  <c r="F149" i="5"/>
  <c r="H144" i="27"/>
  <c r="I144" i="27"/>
  <c r="J144" i="27" s="1"/>
  <c r="E142" i="38"/>
  <c r="D142" i="38"/>
  <c r="G141" i="38"/>
  <c r="H140" i="40"/>
  <c r="I140" i="40"/>
  <c r="B143" i="30"/>
  <c r="F143" i="30"/>
  <c r="H147" i="25"/>
  <c r="I147" i="25"/>
  <c r="G149" i="4"/>
  <c r="D150" i="4"/>
  <c r="D151" i="6"/>
  <c r="G150" i="6"/>
  <c r="E151" i="6"/>
  <c r="F141" i="37"/>
  <c r="B141" i="37"/>
  <c r="H151" i="10"/>
  <c r="I151" i="10"/>
  <c r="J151" i="10" s="1"/>
  <c r="E147" i="23"/>
  <c r="F147" i="23"/>
  <c r="B147" i="23"/>
  <c r="B148" i="22"/>
  <c r="E148" i="22"/>
  <c r="F148" i="22" s="1"/>
  <c r="I148" i="5"/>
  <c r="J148" i="5" s="1"/>
  <c r="H148" i="5"/>
  <c r="F141" i="40"/>
  <c r="B141" i="40"/>
  <c r="I145" i="24"/>
  <c r="H145" i="24"/>
  <c r="I149" i="6"/>
  <c r="J149" i="6" s="1"/>
  <c r="H149" i="6"/>
  <c r="H146" i="23"/>
  <c r="I146" i="23"/>
  <c r="G151" i="11"/>
  <c r="D152" i="11"/>
  <c r="B144" i="28"/>
  <c r="F144" i="28"/>
  <c r="E145" i="27"/>
  <c r="F145" i="27" s="1"/>
  <c r="G150" i="8"/>
  <c r="D151" i="8"/>
  <c r="E151" i="9"/>
  <c r="B151" i="9"/>
  <c r="F151" i="9"/>
  <c r="H142" i="30"/>
  <c r="I142" i="30"/>
  <c r="E146" i="24"/>
  <c r="F146" i="24" s="1"/>
  <c r="B146" i="24"/>
  <c r="H151" i="7"/>
  <c r="I151" i="7"/>
  <c r="J151" i="7" s="1"/>
  <c r="J149" i="8"/>
  <c r="H150" i="11"/>
  <c r="I150" i="11"/>
  <c r="I143" i="28"/>
  <c r="J143" i="28" s="1"/>
  <c r="H143" i="28"/>
  <c r="H150" i="9"/>
  <c r="I150" i="9"/>
  <c r="E148" i="25"/>
  <c r="F148" i="25" s="1"/>
  <c r="B148" i="25"/>
  <c r="E152" i="7"/>
  <c r="F152" i="7"/>
  <c r="B152" i="7"/>
  <c r="H140" i="37"/>
  <c r="I140" i="37"/>
  <c r="F152" i="10"/>
  <c r="B152" i="10"/>
  <c r="H147" i="22"/>
  <c r="I147" i="22"/>
  <c r="D146" i="29"/>
  <c r="G145" i="29"/>
  <c r="J144" i="29"/>
  <c r="D61" i="42"/>
  <c r="E61" i="42" s="1"/>
  <c r="H60" i="42"/>
  <c r="G60" i="42"/>
  <c r="D71" i="8"/>
  <c r="E71" i="8"/>
  <c r="G70" i="8"/>
  <c r="H70" i="8"/>
  <c r="D67" i="27"/>
  <c r="E67" i="27" s="1"/>
  <c r="H66" i="27"/>
  <c r="G66" i="27"/>
  <c r="D62" i="40"/>
  <c r="E62" i="40"/>
  <c r="G62" i="39"/>
  <c r="I62" i="39" s="1"/>
  <c r="D63" i="44"/>
  <c r="E63" i="44" s="1"/>
  <c r="I72" i="10"/>
  <c r="I73" i="10" s="1"/>
  <c r="H73" i="10"/>
  <c r="F72" i="11"/>
  <c r="H140" i="41"/>
  <c r="I140" i="41"/>
  <c r="B141" i="43"/>
  <c r="F141" i="43"/>
  <c r="D69" i="22"/>
  <c r="B143" i="13"/>
  <c r="G66" i="24"/>
  <c r="I66" i="24" s="1"/>
  <c r="I70" i="3"/>
  <c r="H62" i="44"/>
  <c r="I62" i="44" s="1"/>
  <c r="D62" i="41"/>
  <c r="E62" i="41" s="1"/>
  <c r="B72" i="6"/>
  <c r="F72" i="6"/>
  <c r="H72" i="6" s="1"/>
  <c r="G72" i="6"/>
  <c r="G73" i="6" s="1"/>
  <c r="B141" i="41"/>
  <c r="F141" i="41"/>
  <c r="I140" i="43"/>
  <c r="H140" i="43"/>
  <c r="H142" i="13"/>
  <c r="I142" i="13"/>
  <c r="G61" i="40"/>
  <c r="I61" i="40" s="1"/>
  <c r="D71" i="4"/>
  <c r="E71" i="4" s="1"/>
  <c r="E63" i="13"/>
  <c r="D63" i="13"/>
  <c r="G68" i="22"/>
  <c r="E143" i="13"/>
  <c r="F143" i="13" s="1"/>
  <c r="F142" i="44"/>
  <c r="B142" i="44"/>
  <c r="I64" i="28"/>
  <c r="D71" i="3"/>
  <c r="E71" i="3" s="1"/>
  <c r="I61" i="38"/>
  <c r="H61" i="41"/>
  <c r="I61" i="41" s="1"/>
  <c r="G70" i="4"/>
  <c r="I70" i="4" s="1"/>
  <c r="F64" i="31"/>
  <c r="H64" i="31"/>
  <c r="B64" i="31"/>
  <c r="H68" i="22"/>
  <c r="I68" i="22" s="1"/>
  <c r="I141" i="44"/>
  <c r="H141" i="44"/>
  <c r="D71" i="5"/>
  <c r="E71" i="5" s="1"/>
  <c r="I67" i="23"/>
  <c r="D64" i="30"/>
  <c r="E64" i="30"/>
  <c r="F145" i="31"/>
  <c r="B145" i="31"/>
  <c r="D69" i="25"/>
  <c r="E69" i="25"/>
  <c r="D61" i="45"/>
  <c r="I144" i="31"/>
  <c r="H144" i="31"/>
  <c r="D62" i="38"/>
  <c r="E62" i="38" s="1"/>
  <c r="D62" i="43"/>
  <c r="E62" i="43" s="1"/>
  <c r="I140" i="45"/>
  <c r="H140" i="45"/>
  <c r="D67" i="24"/>
  <c r="D63" i="39"/>
  <c r="E63" i="39" s="1"/>
  <c r="H70" i="5"/>
  <c r="I68" i="25"/>
  <c r="I60" i="45"/>
  <c r="D68" i="23"/>
  <c r="D65" i="28"/>
  <c r="E65" i="28" s="1"/>
  <c r="I63" i="30"/>
  <c r="D143" i="42"/>
  <c r="E143" i="42" s="1"/>
  <c r="G142" i="42"/>
  <c r="F141" i="45"/>
  <c r="B141" i="45"/>
  <c r="D62" i="37"/>
  <c r="G141" i="39"/>
  <c r="D142" i="39"/>
  <c r="E142" i="39"/>
  <c r="H66" i="29"/>
  <c r="I66" i="29" s="1"/>
  <c r="B66" i="29"/>
  <c r="G66" i="29"/>
  <c r="F66" i="29"/>
  <c r="D149" i="25" l="1"/>
  <c r="B149" i="25" s="1"/>
  <c r="G148" i="25"/>
  <c r="D147" i="24"/>
  <c r="G146" i="24"/>
  <c r="J142" i="30"/>
  <c r="G144" i="28"/>
  <c r="D145" i="28"/>
  <c r="B145" i="28" s="1"/>
  <c r="I150" i="6"/>
  <c r="H150" i="6"/>
  <c r="B151" i="8"/>
  <c r="E151" i="8"/>
  <c r="F151" i="8" s="1"/>
  <c r="D148" i="23"/>
  <c r="B148" i="23" s="1"/>
  <c r="G147" i="23"/>
  <c r="E148" i="23"/>
  <c r="F148" i="23" s="1"/>
  <c r="F151" i="6"/>
  <c r="B151" i="6"/>
  <c r="G151" i="9"/>
  <c r="D152" i="9"/>
  <c r="H150" i="8"/>
  <c r="I150" i="8"/>
  <c r="E152" i="11"/>
  <c r="B152" i="11"/>
  <c r="F152" i="11"/>
  <c r="G148" i="22"/>
  <c r="D149" i="22"/>
  <c r="E149" i="22"/>
  <c r="D142" i="37"/>
  <c r="G141" i="37"/>
  <c r="E142" i="37"/>
  <c r="B150" i="4"/>
  <c r="E150" i="4"/>
  <c r="F150" i="4" s="1"/>
  <c r="E144" i="30"/>
  <c r="G143" i="30"/>
  <c r="D144" i="30"/>
  <c r="H141" i="38"/>
  <c r="I141" i="38"/>
  <c r="H149" i="3"/>
  <c r="I149" i="3"/>
  <c r="J149" i="3" s="1"/>
  <c r="D153" i="10"/>
  <c r="B153" i="10" s="1"/>
  <c r="G152" i="10"/>
  <c r="G152" i="7"/>
  <c r="D153" i="7"/>
  <c r="D146" i="27"/>
  <c r="G145" i="27"/>
  <c r="I151" i="11"/>
  <c r="H151" i="11"/>
  <c r="E142" i="40"/>
  <c r="G141" i="40"/>
  <c r="D142" i="40"/>
  <c r="H149" i="4"/>
  <c r="I149" i="4"/>
  <c r="F142" i="38"/>
  <c r="B142" i="38"/>
  <c r="G149" i="5"/>
  <c r="D150" i="5"/>
  <c r="B150" i="5" s="1"/>
  <c r="E150" i="3"/>
  <c r="F150" i="3" s="1"/>
  <c r="B150" i="3"/>
  <c r="J144" i="31"/>
  <c r="I145" i="29"/>
  <c r="J145" i="29" s="1"/>
  <c r="H145" i="29"/>
  <c r="E146" i="29"/>
  <c r="F146" i="29" s="1"/>
  <c r="B146" i="29"/>
  <c r="I72" i="6"/>
  <c r="I73" i="6" s="1"/>
  <c r="H73" i="6"/>
  <c r="D144" i="13"/>
  <c r="E144" i="13" s="1"/>
  <c r="G143" i="13"/>
  <c r="B68" i="23"/>
  <c r="B61" i="45"/>
  <c r="G141" i="41"/>
  <c r="D142" i="41"/>
  <c r="E142" i="41"/>
  <c r="B69" i="22"/>
  <c r="B62" i="38"/>
  <c r="F62" i="38"/>
  <c r="G62" i="38" s="1"/>
  <c r="G145" i="31"/>
  <c r="D146" i="31"/>
  <c r="B71" i="3"/>
  <c r="F71" i="3"/>
  <c r="G71" i="3" s="1"/>
  <c r="D142" i="43"/>
  <c r="G141" i="43"/>
  <c r="E142" i="43"/>
  <c r="F69" i="25"/>
  <c r="G69" i="25"/>
  <c r="H69" i="25"/>
  <c r="B69" i="25"/>
  <c r="D65" i="31"/>
  <c r="E65" i="31" s="1"/>
  <c r="G71" i="4"/>
  <c r="B71" i="4"/>
  <c r="H71" i="4"/>
  <c r="I71" i="4" s="1"/>
  <c r="F71" i="4"/>
  <c r="F62" i="40"/>
  <c r="H62" i="40"/>
  <c r="I62" i="40" s="1"/>
  <c r="G62" i="40"/>
  <c r="B62" i="40"/>
  <c r="F71" i="8"/>
  <c r="G71" i="8" s="1"/>
  <c r="B71" i="8"/>
  <c r="B64" i="30"/>
  <c r="F64" i="30"/>
  <c r="G64" i="30"/>
  <c r="B62" i="37"/>
  <c r="F143" i="42"/>
  <c r="B143" i="42"/>
  <c r="I66" i="27"/>
  <c r="H142" i="42"/>
  <c r="I142" i="42"/>
  <c r="D67" i="29"/>
  <c r="E67" i="29"/>
  <c r="G141" i="45"/>
  <c r="D142" i="45"/>
  <c r="E142" i="45" s="1"/>
  <c r="H63" i="39"/>
  <c r="I63" i="39" s="1"/>
  <c r="G63" i="39"/>
  <c r="B63" i="39"/>
  <c r="F63" i="39"/>
  <c r="F62" i="43"/>
  <c r="G62" i="43" s="1"/>
  <c r="H62" i="43"/>
  <c r="B62" i="43"/>
  <c r="B63" i="13"/>
  <c r="H63" i="13"/>
  <c r="G63" i="13"/>
  <c r="F63" i="13"/>
  <c r="I60" i="42"/>
  <c r="F142" i="39"/>
  <c r="B142" i="39"/>
  <c r="F65" i="28"/>
  <c r="B65" i="28"/>
  <c r="B67" i="24"/>
  <c r="F67" i="24"/>
  <c r="H67" i="24" s="1"/>
  <c r="G71" i="5"/>
  <c r="F71" i="5"/>
  <c r="H71" i="5" s="1"/>
  <c r="B71" i="5"/>
  <c r="D143" i="44"/>
  <c r="E143" i="44" s="1"/>
  <c r="G142" i="44"/>
  <c r="F63" i="44"/>
  <c r="H63" i="44" s="1"/>
  <c r="I63" i="44" s="1"/>
  <c r="B63" i="44"/>
  <c r="G63" i="44"/>
  <c r="F67" i="27"/>
  <c r="H67" i="27"/>
  <c r="B67" i="27"/>
  <c r="H141" i="39"/>
  <c r="I141" i="39"/>
  <c r="E62" i="37"/>
  <c r="F62" i="37" s="1"/>
  <c r="E68" i="23"/>
  <c r="F68" i="23" s="1"/>
  <c r="E67" i="24"/>
  <c r="E61" i="45"/>
  <c r="F61" i="45" s="1"/>
  <c r="G64" i="31"/>
  <c r="I64" i="31" s="1"/>
  <c r="H62" i="41"/>
  <c r="I62" i="41" s="1"/>
  <c r="B62" i="41"/>
  <c r="F62" i="41"/>
  <c r="G62" i="41"/>
  <c r="E69" i="22"/>
  <c r="F69" i="22" s="1"/>
  <c r="G72" i="11"/>
  <c r="G73" i="11" s="1"/>
  <c r="H72" i="11"/>
  <c r="I70" i="8"/>
  <c r="F61" i="42"/>
  <c r="H61" i="42" s="1"/>
  <c r="B61" i="42"/>
  <c r="G150" i="3" l="1"/>
  <c r="D151" i="3"/>
  <c r="B151" i="3" s="1"/>
  <c r="B142" i="40"/>
  <c r="F142" i="40"/>
  <c r="I152" i="7"/>
  <c r="J152" i="7" s="1"/>
  <c r="H152" i="7"/>
  <c r="B144" i="30"/>
  <c r="F144" i="30"/>
  <c r="E152" i="9"/>
  <c r="F152" i="9" s="1"/>
  <c r="B152" i="9"/>
  <c r="G148" i="23"/>
  <c r="D149" i="23"/>
  <c r="E149" i="23" s="1"/>
  <c r="E147" i="24"/>
  <c r="F147" i="24" s="1"/>
  <c r="B147" i="24"/>
  <c r="E150" i="5"/>
  <c r="F150" i="5" s="1"/>
  <c r="E143" i="38"/>
  <c r="D143" i="38"/>
  <c r="G142" i="38"/>
  <c r="I141" i="40"/>
  <c r="H141" i="40"/>
  <c r="H145" i="27"/>
  <c r="I145" i="27"/>
  <c r="J145" i="27" s="1"/>
  <c r="E153" i="10"/>
  <c r="F153" i="10" s="1"/>
  <c r="I143" i="30"/>
  <c r="J143" i="30" s="1"/>
  <c r="H143" i="30"/>
  <c r="B149" i="22"/>
  <c r="F149" i="22"/>
  <c r="H151" i="9"/>
  <c r="I151" i="9"/>
  <c r="H147" i="23"/>
  <c r="I147" i="23"/>
  <c r="H144" i="28"/>
  <c r="I144" i="28"/>
  <c r="E149" i="25"/>
  <c r="F149" i="25" s="1"/>
  <c r="J149" i="4"/>
  <c r="E146" i="27"/>
  <c r="F146" i="27" s="1"/>
  <c r="B146" i="27"/>
  <c r="H152" i="10"/>
  <c r="I152" i="10"/>
  <c r="I141" i="37"/>
  <c r="H141" i="37"/>
  <c r="I148" i="22"/>
  <c r="H148" i="22"/>
  <c r="J150" i="8"/>
  <c r="J150" i="6"/>
  <c r="I148" i="25"/>
  <c r="H148" i="25"/>
  <c r="H149" i="5"/>
  <c r="I149" i="5"/>
  <c r="J149" i="5" s="1"/>
  <c r="E153" i="7"/>
  <c r="F153" i="7" s="1"/>
  <c r="B153" i="7"/>
  <c r="G150" i="4"/>
  <c r="D151" i="4"/>
  <c r="B142" i="37"/>
  <c r="F142" i="37"/>
  <c r="G152" i="11"/>
  <c r="D153" i="11"/>
  <c r="E153" i="11" s="1"/>
  <c r="G151" i="6"/>
  <c r="D152" i="6"/>
  <c r="B152" i="6" s="1"/>
  <c r="D152" i="8"/>
  <c r="G151" i="8"/>
  <c r="E145" i="28"/>
  <c r="F145" i="28" s="1"/>
  <c r="I146" i="24"/>
  <c r="H146" i="24"/>
  <c r="G146" i="29"/>
  <c r="D147" i="29"/>
  <c r="D69" i="23"/>
  <c r="E69" i="23" s="1"/>
  <c r="H68" i="23"/>
  <c r="I68" i="23" s="1"/>
  <c r="G68" i="23"/>
  <c r="D63" i="37"/>
  <c r="G62" i="37"/>
  <c r="H62" i="37"/>
  <c r="D70" i="22"/>
  <c r="E70" i="22" s="1"/>
  <c r="G69" i="22"/>
  <c r="H69" i="22"/>
  <c r="I69" i="22" s="1"/>
  <c r="D62" i="45"/>
  <c r="E62" i="45" s="1"/>
  <c r="H61" i="45"/>
  <c r="I61" i="45" s="1"/>
  <c r="G61" i="45"/>
  <c r="D66" i="28"/>
  <c r="E66" i="28" s="1"/>
  <c r="F142" i="41"/>
  <c r="B142" i="41"/>
  <c r="I63" i="13"/>
  <c r="D65" i="30"/>
  <c r="E65" i="30" s="1"/>
  <c r="I69" i="25"/>
  <c r="I141" i="41"/>
  <c r="H141" i="41"/>
  <c r="D68" i="24"/>
  <c r="H67" i="29"/>
  <c r="B67" i="29"/>
  <c r="F67" i="29"/>
  <c r="H64" i="30"/>
  <c r="I64" i="30" s="1"/>
  <c r="B146" i="31"/>
  <c r="I142" i="44"/>
  <c r="H142" i="44"/>
  <c r="G67" i="24"/>
  <c r="I67" i="24" s="1"/>
  <c r="D63" i="40"/>
  <c r="E63" i="40" s="1"/>
  <c r="D70" i="25"/>
  <c r="E70" i="25" s="1"/>
  <c r="H141" i="43"/>
  <c r="I141" i="43"/>
  <c r="H145" i="31"/>
  <c r="I145" i="31"/>
  <c r="H143" i="13"/>
  <c r="I143" i="13"/>
  <c r="D68" i="27"/>
  <c r="E68" i="27" s="1"/>
  <c r="D143" i="39"/>
  <c r="E143" i="39"/>
  <c r="G142" i="39"/>
  <c r="I62" i="43"/>
  <c r="B142" i="45"/>
  <c r="F142" i="45"/>
  <c r="G143" i="42"/>
  <c r="D144" i="42"/>
  <c r="E144" i="42" s="1"/>
  <c r="H71" i="8"/>
  <c r="I71" i="8" s="1"/>
  <c r="F142" i="43"/>
  <c r="B142" i="43"/>
  <c r="E146" i="31"/>
  <c r="F146" i="31" s="1"/>
  <c r="G61" i="42"/>
  <c r="I61" i="42" s="1"/>
  <c r="D63" i="41"/>
  <c r="E63" i="41" s="1"/>
  <c r="H65" i="28"/>
  <c r="I65" i="28" s="1"/>
  <c r="H141" i="45"/>
  <c r="I141" i="45"/>
  <c r="H71" i="3"/>
  <c r="I71" i="3" s="1"/>
  <c r="H62" i="38"/>
  <c r="I62" i="38" s="1"/>
  <c r="B144" i="13"/>
  <c r="F144" i="13"/>
  <c r="B143" i="44"/>
  <c r="F143" i="44"/>
  <c r="D62" i="42"/>
  <c r="E62" i="42"/>
  <c r="D64" i="44"/>
  <c r="E64" i="44" s="1"/>
  <c r="D63" i="43"/>
  <c r="E63" i="43"/>
  <c r="I72" i="11"/>
  <c r="I73" i="11" s="1"/>
  <c r="H73" i="11"/>
  <c r="G67" i="27"/>
  <c r="I67" i="27" s="1"/>
  <c r="E72" i="5"/>
  <c r="E73" i="5" s="1"/>
  <c r="D72" i="5"/>
  <c r="G65" i="28"/>
  <c r="D64" i="13"/>
  <c r="E64" i="13"/>
  <c r="D64" i="39"/>
  <c r="D72" i="8"/>
  <c r="E72" i="8" s="1"/>
  <c r="E73" i="8" s="1"/>
  <c r="D72" i="4"/>
  <c r="E72" i="4" s="1"/>
  <c r="E73" i="4" s="1"/>
  <c r="B65" i="31"/>
  <c r="F65" i="31"/>
  <c r="H65" i="31"/>
  <c r="D72" i="3"/>
  <c r="D63" i="38"/>
  <c r="D147" i="27" l="1"/>
  <c r="G146" i="27"/>
  <c r="D154" i="7"/>
  <c r="G153" i="7"/>
  <c r="G147" i="24"/>
  <c r="D148" i="24"/>
  <c r="G152" i="9"/>
  <c r="D153" i="9"/>
  <c r="B152" i="8"/>
  <c r="J152" i="10"/>
  <c r="D146" i="28"/>
  <c r="B146" i="28" s="1"/>
  <c r="G145" i="28"/>
  <c r="E146" i="28"/>
  <c r="F146" i="28" s="1"/>
  <c r="E152" i="6"/>
  <c r="F152" i="6" s="1"/>
  <c r="B153" i="11"/>
  <c r="F153" i="11"/>
  <c r="E151" i="4"/>
  <c r="F151" i="4"/>
  <c r="B151" i="4"/>
  <c r="D150" i="22"/>
  <c r="B150" i="22" s="1"/>
  <c r="G149" i="22"/>
  <c r="G153" i="10"/>
  <c r="D154" i="10"/>
  <c r="G150" i="5"/>
  <c r="D151" i="5"/>
  <c r="E151" i="3"/>
  <c r="F151" i="3" s="1"/>
  <c r="I151" i="8"/>
  <c r="J151" i="8" s="1"/>
  <c r="H151" i="8"/>
  <c r="I152" i="11"/>
  <c r="H152" i="11"/>
  <c r="I150" i="4"/>
  <c r="J150" i="4" s="1"/>
  <c r="H150" i="4"/>
  <c r="G149" i="25"/>
  <c r="D150" i="25"/>
  <c r="H142" i="38"/>
  <c r="I142" i="38"/>
  <c r="B149" i="23"/>
  <c r="F149" i="23"/>
  <c r="E152" i="8"/>
  <c r="F152" i="8" s="1"/>
  <c r="H151" i="6"/>
  <c r="I151" i="6"/>
  <c r="J151" i="6" s="1"/>
  <c r="G142" i="37"/>
  <c r="D143" i="37"/>
  <c r="E143" i="37"/>
  <c r="J144" i="28"/>
  <c r="B143" i="38"/>
  <c r="F143" i="38"/>
  <c r="H148" i="23"/>
  <c r="I148" i="23"/>
  <c r="G144" i="30"/>
  <c r="E145" i="30"/>
  <c r="D145" i="30"/>
  <c r="G142" i="40"/>
  <c r="D143" i="40"/>
  <c r="E143" i="40"/>
  <c r="I150" i="3"/>
  <c r="H150" i="3"/>
  <c r="E147" i="29"/>
  <c r="F147" i="29"/>
  <c r="B147" i="29"/>
  <c r="I146" i="29"/>
  <c r="H146" i="29"/>
  <c r="G146" i="31"/>
  <c r="D147" i="31"/>
  <c r="E147" i="31" s="1"/>
  <c r="F63" i="43"/>
  <c r="G63" i="43" s="1"/>
  <c r="B63" i="43"/>
  <c r="F62" i="42"/>
  <c r="H62" i="42"/>
  <c r="B62" i="42"/>
  <c r="G62" i="42"/>
  <c r="I143" i="42"/>
  <c r="H143" i="42"/>
  <c r="B68" i="24"/>
  <c r="I62" i="37"/>
  <c r="B72" i="4"/>
  <c r="F72" i="4"/>
  <c r="H72" i="4"/>
  <c r="G72" i="4"/>
  <c r="G73" i="4" s="1"/>
  <c r="B64" i="39"/>
  <c r="G143" i="44"/>
  <c r="D144" i="44"/>
  <c r="E144" i="44" s="1"/>
  <c r="B143" i="39"/>
  <c r="F143" i="39"/>
  <c r="E68" i="24"/>
  <c r="F68" i="24" s="1"/>
  <c r="F65" i="30"/>
  <c r="H65" i="30" s="1"/>
  <c r="B65" i="30"/>
  <c r="G142" i="41"/>
  <c r="D143" i="41"/>
  <c r="E143" i="41"/>
  <c r="E64" i="39"/>
  <c r="F64" i="39" s="1"/>
  <c r="J145" i="31"/>
  <c r="B63" i="37"/>
  <c r="B72" i="3"/>
  <c r="G63" i="41"/>
  <c r="B63" i="41"/>
  <c r="F63" i="41"/>
  <c r="F68" i="27"/>
  <c r="H68" i="27"/>
  <c r="B68" i="27"/>
  <c r="G68" i="27"/>
  <c r="H63" i="40"/>
  <c r="B63" i="40"/>
  <c r="F63" i="40"/>
  <c r="F62" i="45"/>
  <c r="H62" i="45"/>
  <c r="B62" i="45"/>
  <c r="G62" i="45"/>
  <c r="E63" i="37"/>
  <c r="F63" i="37" s="1"/>
  <c r="F69" i="23"/>
  <c r="G69" i="23" s="1"/>
  <c r="B69" i="23"/>
  <c r="G64" i="13"/>
  <c r="F64" i="13"/>
  <c r="H64" i="13" s="1"/>
  <c r="I64" i="13" s="1"/>
  <c r="B64" i="13"/>
  <c r="G142" i="45"/>
  <c r="D143" i="45"/>
  <c r="E143" i="45" s="1"/>
  <c r="D68" i="29"/>
  <c r="E68" i="29" s="1"/>
  <c r="B72" i="8"/>
  <c r="F72" i="8"/>
  <c r="H72" i="8" s="1"/>
  <c r="G72" i="8"/>
  <c r="G73" i="8" s="1"/>
  <c r="D145" i="13"/>
  <c r="G144" i="13"/>
  <c r="G142" i="43"/>
  <c r="D143" i="43"/>
  <c r="E143" i="43"/>
  <c r="B64" i="44"/>
  <c r="F64" i="44"/>
  <c r="B63" i="38"/>
  <c r="D66" i="31"/>
  <c r="E66" i="31" s="1"/>
  <c r="E63" i="38"/>
  <c r="F63" i="38" s="1"/>
  <c r="E72" i="3"/>
  <c r="E73" i="3" s="1"/>
  <c r="G65" i="31"/>
  <c r="I65" i="31" s="1"/>
  <c r="B72" i="5"/>
  <c r="F72" i="5"/>
  <c r="G72" i="5" s="1"/>
  <c r="G73" i="5" s="1"/>
  <c r="H72" i="5"/>
  <c r="H73" i="5" s="1"/>
  <c r="G67" i="29"/>
  <c r="I67" i="29" s="1"/>
  <c r="F144" i="42"/>
  <c r="B144" i="42"/>
  <c r="I142" i="39"/>
  <c r="H142" i="39"/>
  <c r="H70" i="25"/>
  <c r="B70" i="25"/>
  <c r="F70" i="25"/>
  <c r="F66" i="28"/>
  <c r="G66" i="28" s="1"/>
  <c r="H66" i="28"/>
  <c r="B66" i="28"/>
  <c r="B70" i="22"/>
  <c r="F70" i="22"/>
  <c r="D153" i="8" l="1"/>
  <c r="E153" i="8" s="1"/>
  <c r="G152" i="8"/>
  <c r="I142" i="40"/>
  <c r="H142" i="40"/>
  <c r="I149" i="25"/>
  <c r="H149" i="25"/>
  <c r="E151" i="5"/>
  <c r="F151" i="5" s="1"/>
  <c r="B151" i="5"/>
  <c r="H149" i="22"/>
  <c r="I149" i="22"/>
  <c r="D152" i="4"/>
  <c r="G151" i="4"/>
  <c r="G152" i="6"/>
  <c r="D153" i="6"/>
  <c r="B153" i="6" s="1"/>
  <c r="E153" i="6"/>
  <c r="F153" i="6" s="1"/>
  <c r="E153" i="9"/>
  <c r="B153" i="9"/>
  <c r="F153" i="9"/>
  <c r="I153" i="7"/>
  <c r="H153" i="7"/>
  <c r="J150" i="3"/>
  <c r="B145" i="30"/>
  <c r="F145" i="30"/>
  <c r="H150" i="5"/>
  <c r="I150" i="5"/>
  <c r="J150" i="5" s="1"/>
  <c r="E150" i="22"/>
  <c r="F150" i="22" s="1"/>
  <c r="D147" i="28"/>
  <c r="B147" i="28" s="1"/>
  <c r="G146" i="28"/>
  <c r="I152" i="9"/>
  <c r="H152" i="9"/>
  <c r="E154" i="7"/>
  <c r="E155" i="7" s="1"/>
  <c r="B154" i="7"/>
  <c r="F154" i="7"/>
  <c r="G154" i="7" s="1"/>
  <c r="E144" i="38"/>
  <c r="G143" i="38"/>
  <c r="D144" i="38"/>
  <c r="F143" i="37"/>
  <c r="B143" i="37"/>
  <c r="E154" i="10"/>
  <c r="E155" i="10" s="1"/>
  <c r="F154" i="10"/>
  <c r="G154" i="10" s="1"/>
  <c r="B154" i="10"/>
  <c r="G153" i="11"/>
  <c r="D154" i="11"/>
  <c r="E154" i="11"/>
  <c r="E155" i="11" s="1"/>
  <c r="I145" i="28"/>
  <c r="H145" i="28"/>
  <c r="E148" i="24"/>
  <c r="F148" i="24"/>
  <c r="B148" i="24"/>
  <c r="H146" i="27"/>
  <c r="I146" i="27"/>
  <c r="F143" i="40"/>
  <c r="B143" i="40"/>
  <c r="H144" i="30"/>
  <c r="I144" i="30"/>
  <c r="H142" i="37"/>
  <c r="I142" i="37"/>
  <c r="D150" i="23"/>
  <c r="B150" i="23" s="1"/>
  <c r="G149" i="23"/>
  <c r="E150" i="25"/>
  <c r="F150" i="25"/>
  <c r="B150" i="25"/>
  <c r="D152" i="3"/>
  <c r="G151" i="3"/>
  <c r="I153" i="10"/>
  <c r="H153" i="10"/>
  <c r="I147" i="24"/>
  <c r="H147" i="24"/>
  <c r="E147" i="27"/>
  <c r="F147" i="27" s="1"/>
  <c r="B147" i="27"/>
  <c r="G147" i="29"/>
  <c r="D148" i="29"/>
  <c r="E148" i="29" s="1"/>
  <c r="J146" i="29"/>
  <c r="I72" i="8"/>
  <c r="I73" i="8" s="1"/>
  <c r="H73" i="8"/>
  <c r="D65" i="39"/>
  <c r="E65" i="39"/>
  <c r="G64" i="39"/>
  <c r="H64" i="39"/>
  <c r="I64" i="39" s="1"/>
  <c r="E64" i="37"/>
  <c r="D64" i="37"/>
  <c r="H63" i="37"/>
  <c r="G63" i="37"/>
  <c r="D69" i="24"/>
  <c r="H68" i="24"/>
  <c r="I68" i="24" s="1"/>
  <c r="G68" i="24"/>
  <c r="D64" i="38"/>
  <c r="E64" i="38"/>
  <c r="H63" i="38"/>
  <c r="I63" i="38" s="1"/>
  <c r="G63" i="38"/>
  <c r="D71" i="25"/>
  <c r="E71" i="25" s="1"/>
  <c r="D64" i="40"/>
  <c r="E64" i="40" s="1"/>
  <c r="D64" i="41"/>
  <c r="E64" i="41" s="1"/>
  <c r="F72" i="3"/>
  <c r="I144" i="13"/>
  <c r="H144" i="13"/>
  <c r="B68" i="29"/>
  <c r="G68" i="29"/>
  <c r="F68" i="29"/>
  <c r="D70" i="23"/>
  <c r="E70" i="23"/>
  <c r="D66" i="30"/>
  <c r="E66" i="30" s="1"/>
  <c r="E144" i="39"/>
  <c r="G143" i="39"/>
  <c r="D144" i="39"/>
  <c r="D64" i="43"/>
  <c r="E64" i="43" s="1"/>
  <c r="B145" i="13"/>
  <c r="D67" i="28"/>
  <c r="E67" i="28" s="1"/>
  <c r="B143" i="43"/>
  <c r="F143" i="43"/>
  <c r="E145" i="13"/>
  <c r="F145" i="13" s="1"/>
  <c r="B143" i="41"/>
  <c r="F143" i="41"/>
  <c r="F144" i="44"/>
  <c r="B144" i="44"/>
  <c r="I62" i="42"/>
  <c r="D71" i="22"/>
  <c r="E71" i="22" s="1"/>
  <c r="I62" i="45"/>
  <c r="I68" i="27"/>
  <c r="I142" i="41"/>
  <c r="H142" i="41"/>
  <c r="H143" i="44"/>
  <c r="I143" i="44"/>
  <c r="I72" i="4"/>
  <c r="I73" i="4" s="1"/>
  <c r="H73" i="4"/>
  <c r="D63" i="42"/>
  <c r="E63" i="42" s="1"/>
  <c r="I66" i="28"/>
  <c r="D65" i="44"/>
  <c r="E65" i="44"/>
  <c r="H142" i="43"/>
  <c r="I142" i="43"/>
  <c r="H70" i="22"/>
  <c r="I70" i="22" s="1"/>
  <c r="D145" i="42"/>
  <c r="E145" i="42" s="1"/>
  <c r="G144" i="42"/>
  <c r="H64" i="44"/>
  <c r="B143" i="45"/>
  <c r="F143" i="45"/>
  <c r="D63" i="45"/>
  <c r="E63" i="45"/>
  <c r="D69" i="27"/>
  <c r="G65" i="30"/>
  <c r="I65" i="30" s="1"/>
  <c r="H63" i="43"/>
  <c r="I63" i="43" s="1"/>
  <c r="B147" i="31"/>
  <c r="F147" i="31"/>
  <c r="B66" i="31"/>
  <c r="F66" i="31"/>
  <c r="H66" i="31" s="1"/>
  <c r="G70" i="22"/>
  <c r="G70" i="25"/>
  <c r="I70" i="25" s="1"/>
  <c r="G64" i="44"/>
  <c r="H142" i="45"/>
  <c r="I142" i="45"/>
  <c r="D65" i="13"/>
  <c r="H69" i="23"/>
  <c r="I69" i="23" s="1"/>
  <c r="G63" i="40"/>
  <c r="I63" i="40" s="1"/>
  <c r="H63" i="41"/>
  <c r="I63" i="41" s="1"/>
  <c r="H146" i="31"/>
  <c r="I146" i="31"/>
  <c r="G151" i="5" l="1"/>
  <c r="D152" i="5"/>
  <c r="G147" i="27"/>
  <c r="D148" i="27"/>
  <c r="B148" i="27" s="1"/>
  <c r="H151" i="3"/>
  <c r="I151" i="3"/>
  <c r="J145" i="28"/>
  <c r="G143" i="37"/>
  <c r="D144" i="37"/>
  <c r="E144" i="37"/>
  <c r="I154" i="7"/>
  <c r="J154" i="7" s="1"/>
  <c r="H154" i="7"/>
  <c r="H155" i="7" s="1"/>
  <c r="G150" i="22"/>
  <c r="D151" i="22"/>
  <c r="B151" i="22" s="1"/>
  <c r="E151" i="22"/>
  <c r="F151" i="22" s="1"/>
  <c r="D154" i="9"/>
  <c r="G153" i="9"/>
  <c r="E154" i="9"/>
  <c r="E155" i="9" s="1"/>
  <c r="E152" i="3"/>
  <c r="F152" i="3" s="1"/>
  <c r="B152" i="3"/>
  <c r="E150" i="23"/>
  <c r="F150" i="23" s="1"/>
  <c r="G143" i="40"/>
  <c r="D144" i="40"/>
  <c r="E144" i="40"/>
  <c r="G148" i="24"/>
  <c r="D149" i="24"/>
  <c r="I154" i="10"/>
  <c r="J154" i="10" s="1"/>
  <c r="H154" i="10"/>
  <c r="H155" i="10" s="1"/>
  <c r="B144" i="38"/>
  <c r="F144" i="38"/>
  <c r="E147" i="28"/>
  <c r="F147" i="28" s="1"/>
  <c r="I152" i="6"/>
  <c r="H152" i="6"/>
  <c r="I149" i="23"/>
  <c r="H149" i="23"/>
  <c r="J144" i="30"/>
  <c r="J146" i="27"/>
  <c r="B154" i="11"/>
  <c r="F154" i="11"/>
  <c r="G154" i="11" s="1"/>
  <c r="H143" i="38"/>
  <c r="I143" i="38"/>
  <c r="H146" i="28"/>
  <c r="I146" i="28"/>
  <c r="J146" i="28" s="1"/>
  <c r="H151" i="4"/>
  <c r="I151" i="4"/>
  <c r="J151" i="4" s="1"/>
  <c r="I152" i="8"/>
  <c r="H152" i="8"/>
  <c r="J153" i="10"/>
  <c r="I155" i="10"/>
  <c r="D151" i="25"/>
  <c r="G150" i="25"/>
  <c r="I153" i="11"/>
  <c r="H153" i="11"/>
  <c r="D146" i="30"/>
  <c r="B146" i="30" s="1"/>
  <c r="G145" i="30"/>
  <c r="J153" i="7"/>
  <c r="I155" i="7"/>
  <c r="G153" i="6"/>
  <c r="D154" i="6"/>
  <c r="E154" i="6" s="1"/>
  <c r="E155" i="6" s="1"/>
  <c r="E152" i="4"/>
  <c r="F152" i="4" s="1"/>
  <c r="B152" i="4"/>
  <c r="F153" i="8"/>
  <c r="B153" i="8"/>
  <c r="B148" i="29"/>
  <c r="F148" i="29"/>
  <c r="H147" i="29"/>
  <c r="I147" i="29"/>
  <c r="J147" i="29" s="1"/>
  <c r="D146" i="13"/>
  <c r="E146" i="13" s="1"/>
  <c r="G145" i="13"/>
  <c r="B69" i="27"/>
  <c r="F145" i="42"/>
  <c r="B145" i="42"/>
  <c r="B69" i="24"/>
  <c r="B63" i="42"/>
  <c r="F63" i="42"/>
  <c r="H63" i="42" s="1"/>
  <c r="E69" i="24"/>
  <c r="F69" i="24" s="1"/>
  <c r="F71" i="22"/>
  <c r="H71" i="22" s="1"/>
  <c r="B71" i="22"/>
  <c r="G143" i="41"/>
  <c r="D144" i="41"/>
  <c r="E144" i="41"/>
  <c r="F67" i="28"/>
  <c r="B67" i="28"/>
  <c r="F66" i="30"/>
  <c r="B66" i="30"/>
  <c r="H66" i="30"/>
  <c r="G147" i="31"/>
  <c r="D148" i="31"/>
  <c r="E148" i="31" s="1"/>
  <c r="D144" i="45"/>
  <c r="E144" i="45" s="1"/>
  <c r="G143" i="45"/>
  <c r="G72" i="3"/>
  <c r="G73" i="3" s="1"/>
  <c r="H72" i="3"/>
  <c r="B63" i="45"/>
  <c r="F63" i="45"/>
  <c r="H63" i="45" s="1"/>
  <c r="J146" i="31"/>
  <c r="H70" i="23"/>
  <c r="I70" i="23" s="1"/>
  <c r="G70" i="23"/>
  <c r="F70" i="23"/>
  <c r="B70" i="23"/>
  <c r="F65" i="39"/>
  <c r="B65" i="39"/>
  <c r="B64" i="43"/>
  <c r="H64" i="43"/>
  <c r="F64" i="43"/>
  <c r="D69" i="29"/>
  <c r="E69" i="29" s="1"/>
  <c r="B64" i="41"/>
  <c r="F64" i="41"/>
  <c r="G64" i="41" s="1"/>
  <c r="G71" i="25"/>
  <c r="F71" i="25"/>
  <c r="H71" i="25"/>
  <c r="I71" i="25" s="1"/>
  <c r="B71" i="25"/>
  <c r="F64" i="38"/>
  <c r="G64" i="38"/>
  <c r="B64" i="38"/>
  <c r="H64" i="38"/>
  <c r="I64" i="38" s="1"/>
  <c r="B65" i="13"/>
  <c r="I64" i="44"/>
  <c r="B65" i="44"/>
  <c r="F65" i="44"/>
  <c r="G65" i="44" s="1"/>
  <c r="D144" i="43"/>
  <c r="G143" i="43"/>
  <c r="E144" i="43"/>
  <c r="F144" i="39"/>
  <c r="B144" i="39"/>
  <c r="H68" i="29"/>
  <c r="I68" i="29" s="1"/>
  <c r="I63" i="37"/>
  <c r="D67" i="31"/>
  <c r="E67" i="31"/>
  <c r="E65" i="13"/>
  <c r="F65" i="13" s="1"/>
  <c r="G66" i="31"/>
  <c r="I66" i="31" s="1"/>
  <c r="E69" i="27"/>
  <c r="F69" i="27" s="1"/>
  <c r="I144" i="42"/>
  <c r="H144" i="42"/>
  <c r="D145" i="44"/>
  <c r="G144" i="44"/>
  <c r="I143" i="39"/>
  <c r="H143" i="39"/>
  <c r="F64" i="40"/>
  <c r="B64" i="40"/>
  <c r="H64" i="37"/>
  <c r="I64" i="37" s="1"/>
  <c r="B64" i="37"/>
  <c r="G64" i="37"/>
  <c r="F64" i="37"/>
  <c r="G152" i="3" l="1"/>
  <c r="D153" i="3"/>
  <c r="B151" i="25"/>
  <c r="J152" i="8"/>
  <c r="G144" i="38"/>
  <c r="D145" i="38"/>
  <c r="E149" i="24"/>
  <c r="B149" i="24"/>
  <c r="F149" i="24"/>
  <c r="H143" i="40"/>
  <c r="I143" i="40"/>
  <c r="G151" i="22"/>
  <c r="D152" i="22"/>
  <c r="J155" i="7"/>
  <c r="G153" i="8"/>
  <c r="D154" i="8"/>
  <c r="B154" i="8" s="1"/>
  <c r="B154" i="6"/>
  <c r="F154" i="6"/>
  <c r="G154" i="6" s="1"/>
  <c r="E146" i="30"/>
  <c r="F146" i="30" s="1"/>
  <c r="H148" i="24"/>
  <c r="I148" i="24"/>
  <c r="D151" i="23"/>
  <c r="G150" i="23"/>
  <c r="J151" i="3"/>
  <c r="H147" i="27"/>
  <c r="I147" i="27"/>
  <c r="I153" i="6"/>
  <c r="J153" i="6" s="1"/>
  <c r="H153" i="6"/>
  <c r="H145" i="30"/>
  <c r="I145" i="30"/>
  <c r="I150" i="25"/>
  <c r="H150" i="25"/>
  <c r="J152" i="6"/>
  <c r="I153" i="9"/>
  <c r="H153" i="9"/>
  <c r="I150" i="22"/>
  <c r="H150" i="22"/>
  <c r="F144" i="37"/>
  <c r="B144" i="37"/>
  <c r="E152" i="5"/>
  <c r="F152" i="5" s="1"/>
  <c r="B152" i="5"/>
  <c r="G152" i="4"/>
  <c r="D153" i="4"/>
  <c r="E151" i="25"/>
  <c r="F151" i="25" s="1"/>
  <c r="H154" i="11"/>
  <c r="H155" i="11" s="1"/>
  <c r="I154" i="11"/>
  <c r="I155" i="11" s="1"/>
  <c r="G147" i="28"/>
  <c r="D148" i="28"/>
  <c r="J155" i="10"/>
  <c r="B144" i="40"/>
  <c r="F144" i="40"/>
  <c r="B154" i="9"/>
  <c r="F154" i="9"/>
  <c r="G154" i="9" s="1"/>
  <c r="H143" i="37"/>
  <c r="I143" i="37"/>
  <c r="E148" i="27"/>
  <c r="F148" i="27" s="1"/>
  <c r="H151" i="5"/>
  <c r="I151" i="5"/>
  <c r="J151" i="5" s="1"/>
  <c r="G148" i="29"/>
  <c r="D149" i="29"/>
  <c r="B149" i="29" s="1"/>
  <c r="D70" i="27"/>
  <c r="E70" i="27" s="1"/>
  <c r="G69" i="27"/>
  <c r="H69" i="27"/>
  <c r="I69" i="27" s="1"/>
  <c r="D66" i="13"/>
  <c r="E66" i="13" s="1"/>
  <c r="H65" i="13"/>
  <c r="I65" i="13" s="1"/>
  <c r="G65" i="13"/>
  <c r="D70" i="24"/>
  <c r="E70" i="24" s="1"/>
  <c r="G69" i="24"/>
  <c r="H69" i="24"/>
  <c r="I69" i="24" s="1"/>
  <c r="B145" i="44"/>
  <c r="D65" i="43"/>
  <c r="E65" i="43" s="1"/>
  <c r="D66" i="39"/>
  <c r="E66" i="39" s="1"/>
  <c r="H147" i="31"/>
  <c r="I147" i="31"/>
  <c r="E68" i="28"/>
  <c r="D68" i="28"/>
  <c r="D66" i="44"/>
  <c r="E66" i="44"/>
  <c r="H64" i="41"/>
  <c r="I64" i="41" s="1"/>
  <c r="G63" i="42"/>
  <c r="I63" i="42" s="1"/>
  <c r="G145" i="42"/>
  <c r="D146" i="42"/>
  <c r="E146" i="42" s="1"/>
  <c r="I145" i="13"/>
  <c r="H145" i="13"/>
  <c r="F144" i="41"/>
  <c r="B144" i="41"/>
  <c r="B67" i="31"/>
  <c r="F67" i="31"/>
  <c r="G67" i="31" s="1"/>
  <c r="H65" i="44"/>
  <c r="I65" i="44" s="1"/>
  <c r="I72" i="3"/>
  <c r="I73" i="3" s="1"/>
  <c r="H73" i="3"/>
  <c r="D67" i="30"/>
  <c r="E67" i="30"/>
  <c r="I143" i="41"/>
  <c r="H143" i="41"/>
  <c r="D64" i="42"/>
  <c r="E64" i="42"/>
  <c r="F146" i="13"/>
  <c r="B146" i="13"/>
  <c r="D65" i="40"/>
  <c r="E65" i="40"/>
  <c r="D65" i="37"/>
  <c r="E65" i="37"/>
  <c r="I143" i="43"/>
  <c r="H143" i="43"/>
  <c r="D65" i="38"/>
  <c r="E65" i="38" s="1"/>
  <c r="D71" i="23"/>
  <c r="E71" i="23" s="1"/>
  <c r="H143" i="45"/>
  <c r="I143" i="45"/>
  <c r="G66" i="30"/>
  <c r="I66" i="30" s="1"/>
  <c r="G71" i="22"/>
  <c r="I71" i="22" s="1"/>
  <c r="G64" i="40"/>
  <c r="D145" i="39"/>
  <c r="E145" i="39" s="1"/>
  <c r="G144" i="39"/>
  <c r="D65" i="41"/>
  <c r="H64" i="40"/>
  <c r="I64" i="40" s="1"/>
  <c r="B144" i="43"/>
  <c r="F144" i="43"/>
  <c r="H65" i="39"/>
  <c r="G63" i="45"/>
  <c r="I63" i="45" s="1"/>
  <c r="B144" i="45"/>
  <c r="F144" i="45"/>
  <c r="G67" i="28"/>
  <c r="H144" i="44"/>
  <c r="I144" i="44"/>
  <c r="F69" i="29"/>
  <c r="G69" i="29"/>
  <c r="B69" i="29"/>
  <c r="H69" i="29"/>
  <c r="I69" i="29" s="1"/>
  <c r="E145" i="44"/>
  <c r="F145" i="44" s="1"/>
  <c r="D72" i="25"/>
  <c r="G64" i="43"/>
  <c r="I64" i="43" s="1"/>
  <c r="G65" i="39"/>
  <c r="D64" i="45"/>
  <c r="E64" i="45"/>
  <c r="F148" i="31"/>
  <c r="B148" i="31"/>
  <c r="H67" i="28"/>
  <c r="I67" i="28" s="1"/>
  <c r="D72" i="22"/>
  <c r="E72" i="22" s="1"/>
  <c r="E73" i="22" s="1"/>
  <c r="G151" i="25" l="1"/>
  <c r="D152" i="25"/>
  <c r="G152" i="5"/>
  <c r="D153" i="5"/>
  <c r="B153" i="5" s="1"/>
  <c r="D149" i="27"/>
  <c r="G148" i="27"/>
  <c r="E148" i="28"/>
  <c r="F148" i="28" s="1"/>
  <c r="B148" i="28"/>
  <c r="B151" i="23"/>
  <c r="I154" i="6"/>
  <c r="H154" i="6"/>
  <c r="H155" i="6" s="1"/>
  <c r="E145" i="38"/>
  <c r="F145" i="38" s="1"/>
  <c r="B145" i="38"/>
  <c r="J147" i="31"/>
  <c r="D145" i="40"/>
  <c r="G144" i="40"/>
  <c r="H147" i="28"/>
  <c r="I147" i="28"/>
  <c r="J147" i="28" s="1"/>
  <c r="E153" i="4"/>
  <c r="F153" i="4" s="1"/>
  <c r="B153" i="4"/>
  <c r="B152" i="22"/>
  <c r="E152" i="22"/>
  <c r="F152" i="22" s="1"/>
  <c r="D150" i="24"/>
  <c r="B150" i="24" s="1"/>
  <c r="G149" i="24"/>
  <c r="H144" i="38"/>
  <c r="I144" i="38"/>
  <c r="E154" i="8"/>
  <c r="I152" i="4"/>
  <c r="H152" i="4"/>
  <c r="I150" i="23"/>
  <c r="H150" i="23"/>
  <c r="I151" i="22"/>
  <c r="H151" i="22"/>
  <c r="E153" i="3"/>
  <c r="F153" i="3" s="1"/>
  <c r="B153" i="3"/>
  <c r="I154" i="9"/>
  <c r="I155" i="9" s="1"/>
  <c r="H154" i="9"/>
  <c r="H155" i="9" s="1"/>
  <c r="G144" i="37"/>
  <c r="D145" i="37"/>
  <c r="E145" i="37"/>
  <c r="J145" i="30"/>
  <c r="J147" i="27"/>
  <c r="E151" i="23"/>
  <c r="F151" i="23" s="1"/>
  <c r="G146" i="30"/>
  <c r="D147" i="30"/>
  <c r="I153" i="8"/>
  <c r="J153" i="8" s="1"/>
  <c r="H153" i="8"/>
  <c r="I152" i="3"/>
  <c r="H152" i="3"/>
  <c r="E149" i="29"/>
  <c r="F149" i="29" s="1"/>
  <c r="H148" i="29"/>
  <c r="I148" i="29"/>
  <c r="J148" i="29" s="1"/>
  <c r="G145" i="44"/>
  <c r="D146" i="44"/>
  <c r="E146" i="44" s="1"/>
  <c r="G65" i="37"/>
  <c r="B65" i="37"/>
  <c r="F65" i="37"/>
  <c r="H145" i="42"/>
  <c r="I145" i="42"/>
  <c r="G68" i="28"/>
  <c r="B68" i="28"/>
  <c r="H68" i="28"/>
  <c r="F68" i="28"/>
  <c r="G144" i="45"/>
  <c r="D145" i="45"/>
  <c r="E145" i="45" s="1"/>
  <c r="D68" i="31"/>
  <c r="E68" i="31"/>
  <c r="B66" i="39"/>
  <c r="F66" i="39"/>
  <c r="H66" i="39" s="1"/>
  <c r="F66" i="13"/>
  <c r="G66" i="13"/>
  <c r="B66" i="13"/>
  <c r="H66" i="13"/>
  <c r="B65" i="40"/>
  <c r="F65" i="40"/>
  <c r="G65" i="40"/>
  <c r="F67" i="30"/>
  <c r="B67" i="30"/>
  <c r="G67" i="30"/>
  <c r="H67" i="30"/>
  <c r="I67" i="30" s="1"/>
  <c r="D70" i="29"/>
  <c r="E70" i="29" s="1"/>
  <c r="B65" i="41"/>
  <c r="G148" i="31"/>
  <c r="D149" i="31"/>
  <c r="E149" i="31" s="1"/>
  <c r="B72" i="25"/>
  <c r="I65" i="39"/>
  <c r="E65" i="41"/>
  <c r="F65" i="41" s="1"/>
  <c r="G65" i="38"/>
  <c r="B65" i="38"/>
  <c r="H65" i="38"/>
  <c r="I65" i="38" s="1"/>
  <c r="F65" i="38"/>
  <c r="G146" i="13"/>
  <c r="D147" i="13"/>
  <c r="B65" i="43"/>
  <c r="F65" i="43"/>
  <c r="G65" i="43" s="1"/>
  <c r="B70" i="24"/>
  <c r="F70" i="24"/>
  <c r="H70" i="24" s="1"/>
  <c r="I70" i="24" s="1"/>
  <c r="G70" i="24"/>
  <c r="B64" i="45"/>
  <c r="F64" i="45"/>
  <c r="H64" i="45"/>
  <c r="G64" i="45"/>
  <c r="D145" i="43"/>
  <c r="E145" i="43" s="1"/>
  <c r="G144" i="43"/>
  <c r="H144" i="39"/>
  <c r="I144" i="39"/>
  <c r="H66" i="44"/>
  <c r="G66" i="44"/>
  <c r="B66" i="44"/>
  <c r="F66" i="44"/>
  <c r="E72" i="25"/>
  <c r="E73" i="25" s="1"/>
  <c r="F72" i="22"/>
  <c r="H72" i="22" s="1"/>
  <c r="G72" i="22"/>
  <c r="G73" i="22" s="1"/>
  <c r="B72" i="22"/>
  <c r="B145" i="39"/>
  <c r="F145" i="39"/>
  <c r="H64" i="42"/>
  <c r="F64" i="42"/>
  <c r="G64" i="42" s="1"/>
  <c r="B64" i="42"/>
  <c r="D145" i="41"/>
  <c r="E145" i="41" s="1"/>
  <c r="G144" i="41"/>
  <c r="B146" i="42"/>
  <c r="F146" i="42"/>
  <c r="B71" i="23"/>
  <c r="F71" i="23"/>
  <c r="G71" i="23"/>
  <c r="H71" i="23"/>
  <c r="I71" i="23" s="1"/>
  <c r="H67" i="31"/>
  <c r="I67" i="31" s="1"/>
  <c r="F70" i="27"/>
  <c r="B70" i="27"/>
  <c r="G70" i="27"/>
  <c r="H70" i="27"/>
  <c r="I70" i="27" s="1"/>
  <c r="G151" i="23" l="1"/>
  <c r="D152" i="23"/>
  <c r="D154" i="4"/>
  <c r="G153" i="4"/>
  <c r="G153" i="3"/>
  <c r="D154" i="3"/>
  <c r="E154" i="3" s="1"/>
  <c r="E155" i="3" s="1"/>
  <c r="G152" i="22"/>
  <c r="D153" i="22"/>
  <c r="E153" i="22" s="1"/>
  <c r="D149" i="28"/>
  <c r="G148" i="28"/>
  <c r="J152" i="3"/>
  <c r="H146" i="30"/>
  <c r="I146" i="30"/>
  <c r="H144" i="40"/>
  <c r="I144" i="40"/>
  <c r="G145" i="38"/>
  <c r="D146" i="38"/>
  <c r="B145" i="37"/>
  <c r="F145" i="37"/>
  <c r="J152" i="4"/>
  <c r="E150" i="24"/>
  <c r="F150" i="24" s="1"/>
  <c r="E145" i="40"/>
  <c r="B145" i="40"/>
  <c r="F145" i="40"/>
  <c r="I148" i="27"/>
  <c r="J148" i="27" s="1"/>
  <c r="H148" i="27"/>
  <c r="I152" i="5"/>
  <c r="H152" i="5"/>
  <c r="H144" i="37"/>
  <c r="I144" i="37"/>
  <c r="E155" i="8"/>
  <c r="F154" i="8"/>
  <c r="G154" i="8" s="1"/>
  <c r="I149" i="24"/>
  <c r="H149" i="24"/>
  <c r="E149" i="27"/>
  <c r="B149" i="27"/>
  <c r="F149" i="27"/>
  <c r="E152" i="25"/>
  <c r="F152" i="25" s="1"/>
  <c r="B152" i="25"/>
  <c r="E147" i="30"/>
  <c r="F147" i="30" s="1"/>
  <c r="B147" i="30"/>
  <c r="I155" i="6"/>
  <c r="J154" i="6"/>
  <c r="J155" i="6" s="1"/>
  <c r="E153" i="5"/>
  <c r="F153" i="5" s="1"/>
  <c r="I151" i="25"/>
  <c r="H151" i="25"/>
  <c r="D150" i="29"/>
  <c r="G149" i="29"/>
  <c r="D66" i="41"/>
  <c r="G65" i="41"/>
  <c r="H65" i="41"/>
  <c r="I65" i="41" s="1"/>
  <c r="I72" i="22"/>
  <c r="I73" i="22" s="1"/>
  <c r="H73" i="22"/>
  <c r="I66" i="39"/>
  <c r="I64" i="42"/>
  <c r="D146" i="39"/>
  <c r="E146" i="39" s="1"/>
  <c r="G145" i="39"/>
  <c r="I66" i="44"/>
  <c r="E66" i="40"/>
  <c r="D66" i="40"/>
  <c r="H145" i="44"/>
  <c r="I145" i="44"/>
  <c r="H65" i="43"/>
  <c r="I65" i="43" s="1"/>
  <c r="B149" i="31"/>
  <c r="F149" i="31"/>
  <c r="G66" i="39"/>
  <c r="I144" i="41"/>
  <c r="H144" i="41"/>
  <c r="I64" i="45"/>
  <c r="I148" i="31"/>
  <c r="J148" i="31" s="1"/>
  <c r="H148" i="31"/>
  <c r="H65" i="40"/>
  <c r="I65" i="40" s="1"/>
  <c r="F145" i="45"/>
  <c r="B145" i="45"/>
  <c r="B145" i="41"/>
  <c r="F145" i="41"/>
  <c r="D65" i="45"/>
  <c r="B147" i="13"/>
  <c r="I66" i="13"/>
  <c r="I144" i="45"/>
  <c r="H144" i="45"/>
  <c r="D71" i="27"/>
  <c r="I144" i="43"/>
  <c r="H144" i="43"/>
  <c r="I146" i="13"/>
  <c r="H146" i="13"/>
  <c r="D69" i="28"/>
  <c r="E69" i="28" s="1"/>
  <c r="E66" i="37"/>
  <c r="D66" i="37"/>
  <c r="D72" i="23"/>
  <c r="E72" i="23" s="1"/>
  <c r="E73" i="23" s="1"/>
  <c r="D67" i="44"/>
  <c r="E67" i="44" s="1"/>
  <c r="F145" i="43"/>
  <c r="B145" i="43"/>
  <c r="D71" i="24"/>
  <c r="E147" i="13"/>
  <c r="F147" i="13" s="1"/>
  <c r="F72" i="25"/>
  <c r="I68" i="28"/>
  <c r="G146" i="42"/>
  <c r="D147" i="42"/>
  <c r="E147" i="42" s="1"/>
  <c r="D65" i="42"/>
  <c r="E65" i="42" s="1"/>
  <c r="D66" i="38"/>
  <c r="E66" i="38" s="1"/>
  <c r="D68" i="30"/>
  <c r="E68" i="30" s="1"/>
  <c r="D67" i="13"/>
  <c r="E67" i="13" s="1"/>
  <c r="F68" i="31"/>
  <c r="G68" i="31" s="1"/>
  <c r="H68" i="31"/>
  <c r="B68" i="31"/>
  <c r="H65" i="37"/>
  <c r="I65" i="37" s="1"/>
  <c r="D66" i="43"/>
  <c r="E66" i="43"/>
  <c r="F70" i="29"/>
  <c r="B70" i="29"/>
  <c r="D67" i="39"/>
  <c r="E67" i="39" s="1"/>
  <c r="B146" i="44"/>
  <c r="F146" i="44"/>
  <c r="G147" i="30" l="1"/>
  <c r="D148" i="30"/>
  <c r="B148" i="30" s="1"/>
  <c r="G152" i="25"/>
  <c r="D153" i="25"/>
  <c r="B153" i="25" s="1"/>
  <c r="E153" i="25"/>
  <c r="F153" i="25" s="1"/>
  <c r="D154" i="5"/>
  <c r="G153" i="5"/>
  <c r="I148" i="28"/>
  <c r="J148" i="28" s="1"/>
  <c r="H148" i="28"/>
  <c r="I153" i="4"/>
  <c r="J153" i="4" s="1"/>
  <c r="H153" i="4"/>
  <c r="D150" i="27"/>
  <c r="G149" i="27"/>
  <c r="D151" i="24"/>
  <c r="G150" i="24"/>
  <c r="E146" i="38"/>
  <c r="F146" i="38" s="1"/>
  <c r="B146" i="38"/>
  <c r="J146" i="30"/>
  <c r="E149" i="28"/>
  <c r="F149" i="28" s="1"/>
  <c r="B149" i="28"/>
  <c r="E154" i="4"/>
  <c r="E155" i="4" s="1"/>
  <c r="F154" i="4"/>
  <c r="G154" i="4" s="1"/>
  <c r="B154" i="4"/>
  <c r="I154" i="8"/>
  <c r="H154" i="8"/>
  <c r="H155" i="8" s="1"/>
  <c r="D146" i="40"/>
  <c r="E146" i="40" s="1"/>
  <c r="G145" i="40"/>
  <c r="I145" i="38"/>
  <c r="H145" i="38"/>
  <c r="B153" i="22"/>
  <c r="F153" i="22"/>
  <c r="B154" i="3"/>
  <c r="F154" i="3"/>
  <c r="G154" i="3" s="1"/>
  <c r="E152" i="23"/>
  <c r="B152" i="23"/>
  <c r="F152" i="23"/>
  <c r="J152" i="5"/>
  <c r="D146" i="37"/>
  <c r="G145" i="37"/>
  <c r="I152" i="22"/>
  <c r="H152" i="22"/>
  <c r="I153" i="3"/>
  <c r="H153" i="3"/>
  <c r="I151" i="23"/>
  <c r="H151" i="23"/>
  <c r="H149" i="29"/>
  <c r="I149" i="29"/>
  <c r="E150" i="29"/>
  <c r="F150" i="29" s="1"/>
  <c r="B150" i="29"/>
  <c r="G147" i="13"/>
  <c r="D148" i="13"/>
  <c r="E148" i="13" s="1"/>
  <c r="G72" i="25"/>
  <c r="G73" i="25" s="1"/>
  <c r="H72" i="25"/>
  <c r="B65" i="45"/>
  <c r="G69" i="28"/>
  <c r="B69" i="28"/>
  <c r="H69" i="28"/>
  <c r="I69" i="28" s="1"/>
  <c r="F69" i="28"/>
  <c r="E65" i="45"/>
  <c r="F65" i="45" s="1"/>
  <c r="H145" i="39"/>
  <c r="I145" i="39"/>
  <c r="G66" i="38"/>
  <c r="F66" i="38"/>
  <c r="H66" i="38"/>
  <c r="B66" i="38"/>
  <c r="D71" i="29"/>
  <c r="B71" i="24"/>
  <c r="B71" i="27"/>
  <c r="G145" i="41"/>
  <c r="D146" i="41"/>
  <c r="E146" i="41" s="1"/>
  <c r="F72" i="23"/>
  <c r="G72" i="23" s="1"/>
  <c r="G73" i="23" s="1"/>
  <c r="H72" i="23"/>
  <c r="B72" i="23"/>
  <c r="G70" i="29"/>
  <c r="I146" i="42"/>
  <c r="H146" i="42"/>
  <c r="E71" i="27"/>
  <c r="F71" i="27" s="1"/>
  <c r="F146" i="39"/>
  <c r="B146" i="39"/>
  <c r="E71" i="24"/>
  <c r="F71" i="24" s="1"/>
  <c r="H70" i="29"/>
  <c r="I70" i="29" s="1"/>
  <c r="H67" i="13"/>
  <c r="B67" i="13"/>
  <c r="F67" i="13"/>
  <c r="D146" i="43"/>
  <c r="E146" i="43" s="1"/>
  <c r="G145" i="43"/>
  <c r="I68" i="31"/>
  <c r="D69" i="31"/>
  <c r="E69" i="31"/>
  <c r="B147" i="42"/>
  <c r="F147" i="42"/>
  <c r="D147" i="44"/>
  <c r="G146" i="44"/>
  <c r="F66" i="43"/>
  <c r="B66" i="43"/>
  <c r="H66" i="43"/>
  <c r="I66" i="43" s="1"/>
  <c r="G66" i="43"/>
  <c r="D146" i="45"/>
  <c r="G145" i="45"/>
  <c r="E146" i="45"/>
  <c r="F66" i="41"/>
  <c r="B66" i="41"/>
  <c r="F67" i="39"/>
  <c r="B67" i="39"/>
  <c r="H68" i="30"/>
  <c r="B68" i="30"/>
  <c r="F68" i="30"/>
  <c r="B65" i="42"/>
  <c r="F65" i="42"/>
  <c r="H65" i="42"/>
  <c r="G67" i="44"/>
  <c r="B67" i="44"/>
  <c r="F67" i="44"/>
  <c r="H67" i="44"/>
  <c r="B66" i="37"/>
  <c r="F66" i="37"/>
  <c r="G66" i="37"/>
  <c r="H66" i="37"/>
  <c r="I66" i="37" s="1"/>
  <c r="G149" i="31"/>
  <c r="D150" i="31"/>
  <c r="B66" i="40"/>
  <c r="G66" i="40"/>
  <c r="F66" i="40"/>
  <c r="H66" i="40" s="1"/>
  <c r="I66" i="40" s="1"/>
  <c r="E66" i="41"/>
  <c r="G146" i="38" l="1"/>
  <c r="D147" i="38"/>
  <c r="G149" i="28"/>
  <c r="D150" i="28"/>
  <c r="I145" i="37"/>
  <c r="H145" i="37"/>
  <c r="D154" i="22"/>
  <c r="G153" i="22"/>
  <c r="J154" i="8"/>
  <c r="J155" i="8" s="1"/>
  <c r="I155" i="8"/>
  <c r="E151" i="24"/>
  <c r="F151" i="24" s="1"/>
  <c r="B151" i="24"/>
  <c r="B154" i="5"/>
  <c r="I152" i="25"/>
  <c r="H152" i="25"/>
  <c r="J153" i="3"/>
  <c r="I155" i="3"/>
  <c r="E146" i="37"/>
  <c r="F146" i="37" s="1"/>
  <c r="B146" i="37"/>
  <c r="I145" i="40"/>
  <c r="H145" i="40"/>
  <c r="H149" i="27"/>
  <c r="I149" i="27"/>
  <c r="J149" i="27" s="1"/>
  <c r="E154" i="5"/>
  <c r="E155" i="5" s="1"/>
  <c r="E148" i="30"/>
  <c r="F148" i="30" s="1"/>
  <c r="I154" i="3"/>
  <c r="H154" i="3"/>
  <c r="H155" i="3" s="1"/>
  <c r="F146" i="40"/>
  <c r="B146" i="40"/>
  <c r="I154" i="4"/>
  <c r="H154" i="4"/>
  <c r="H155" i="4" s="1"/>
  <c r="E150" i="27"/>
  <c r="F150" i="27" s="1"/>
  <c r="B150" i="27"/>
  <c r="E154" i="25"/>
  <c r="E155" i="25" s="1"/>
  <c r="G153" i="25"/>
  <c r="D154" i="25"/>
  <c r="D153" i="23"/>
  <c r="E153" i="23"/>
  <c r="G152" i="23"/>
  <c r="I150" i="24"/>
  <c r="H150" i="24"/>
  <c r="I153" i="5"/>
  <c r="H153" i="5"/>
  <c r="H147" i="30"/>
  <c r="I147" i="30"/>
  <c r="D151" i="29"/>
  <c r="G150" i="29"/>
  <c r="J149" i="29"/>
  <c r="D72" i="24"/>
  <c r="E72" i="24" s="1"/>
  <c r="E73" i="24" s="1"/>
  <c r="G71" i="24"/>
  <c r="H71" i="24"/>
  <c r="I71" i="24" s="1"/>
  <c r="D66" i="45"/>
  <c r="E66" i="45"/>
  <c r="G65" i="45"/>
  <c r="H65" i="45"/>
  <c r="I65" i="45" s="1"/>
  <c r="D72" i="27"/>
  <c r="E72" i="27" s="1"/>
  <c r="E73" i="27" s="1"/>
  <c r="G71" i="27"/>
  <c r="H71" i="27"/>
  <c r="I71" i="27" s="1"/>
  <c r="B147" i="44"/>
  <c r="G147" i="42"/>
  <c r="D148" i="42"/>
  <c r="E148" i="42" s="1"/>
  <c r="I145" i="43"/>
  <c r="H145" i="43"/>
  <c r="F146" i="41"/>
  <c r="B146" i="41"/>
  <c r="D67" i="41"/>
  <c r="E68" i="39"/>
  <c r="D68" i="39"/>
  <c r="I145" i="45"/>
  <c r="H145" i="45"/>
  <c r="B146" i="43"/>
  <c r="F146" i="43"/>
  <c r="I145" i="41"/>
  <c r="H145" i="41"/>
  <c r="I72" i="23"/>
  <c r="I73" i="23" s="1"/>
  <c r="H73" i="23"/>
  <c r="B71" i="29"/>
  <c r="I72" i="25"/>
  <c r="I73" i="25" s="1"/>
  <c r="H73" i="25"/>
  <c r="D67" i="37"/>
  <c r="E67" i="37" s="1"/>
  <c r="H67" i="39"/>
  <c r="B69" i="31"/>
  <c r="F69" i="31"/>
  <c r="D147" i="39"/>
  <c r="E147" i="39" s="1"/>
  <c r="G146" i="39"/>
  <c r="E71" i="29"/>
  <c r="F71" i="29" s="1"/>
  <c r="B150" i="31"/>
  <c r="G67" i="39"/>
  <c r="I67" i="44"/>
  <c r="D67" i="43"/>
  <c r="E67" i="43" s="1"/>
  <c r="D68" i="13"/>
  <c r="E150" i="31"/>
  <c r="F150" i="31" s="1"/>
  <c r="D66" i="42"/>
  <c r="E66" i="42" s="1"/>
  <c r="I149" i="31"/>
  <c r="H149" i="31"/>
  <c r="D69" i="30"/>
  <c r="E69" i="30" s="1"/>
  <c r="D68" i="44"/>
  <c r="E68" i="44"/>
  <c r="H66" i="41"/>
  <c r="I66" i="41" s="1"/>
  <c r="I146" i="44"/>
  <c r="H146" i="44"/>
  <c r="G67" i="13"/>
  <c r="I67" i="13" s="1"/>
  <c r="I66" i="38"/>
  <c r="F148" i="13"/>
  <c r="B148" i="13"/>
  <c r="B146" i="45"/>
  <c r="F146" i="45"/>
  <c r="G65" i="42"/>
  <c r="I65" i="42" s="1"/>
  <c r="E67" i="40"/>
  <c r="D67" i="40"/>
  <c r="G68" i="30"/>
  <c r="I68" i="30" s="1"/>
  <c r="G66" i="41"/>
  <c r="E147" i="44"/>
  <c r="F147" i="44" s="1"/>
  <c r="D67" i="38"/>
  <c r="D70" i="28"/>
  <c r="E70" i="28" s="1"/>
  <c r="H147" i="13"/>
  <c r="I147" i="13"/>
  <c r="G150" i="27" l="1"/>
  <c r="D151" i="27"/>
  <c r="G151" i="24"/>
  <c r="D152" i="24"/>
  <c r="D147" i="37"/>
  <c r="G146" i="37"/>
  <c r="B154" i="25"/>
  <c r="F154" i="25"/>
  <c r="G154" i="25" s="1"/>
  <c r="D149" i="30"/>
  <c r="E149" i="30" s="1"/>
  <c r="G148" i="30"/>
  <c r="I153" i="22"/>
  <c r="H153" i="22"/>
  <c r="E150" i="28"/>
  <c r="F150" i="28"/>
  <c r="B150" i="28"/>
  <c r="I152" i="23"/>
  <c r="H152" i="23"/>
  <c r="H153" i="25"/>
  <c r="I153" i="25"/>
  <c r="D147" i="40"/>
  <c r="B147" i="40" s="1"/>
  <c r="G146" i="40"/>
  <c r="F154" i="5"/>
  <c r="G154" i="5" s="1"/>
  <c r="E154" i="22"/>
  <c r="E155" i="22" s="1"/>
  <c r="B154" i="22"/>
  <c r="H149" i="28"/>
  <c r="I149" i="28"/>
  <c r="J149" i="28" s="1"/>
  <c r="J153" i="5"/>
  <c r="E147" i="38"/>
  <c r="F147" i="38" s="1"/>
  <c r="B147" i="38"/>
  <c r="J147" i="30"/>
  <c r="B153" i="23"/>
  <c r="F153" i="23"/>
  <c r="J154" i="4"/>
  <c r="J155" i="4" s="1"/>
  <c r="I155" i="4"/>
  <c r="J154" i="3"/>
  <c r="J155" i="3" s="1"/>
  <c r="I146" i="38"/>
  <c r="H146" i="38"/>
  <c r="J149" i="31"/>
  <c r="I150" i="29"/>
  <c r="H150" i="29"/>
  <c r="B151" i="29"/>
  <c r="E151" i="29"/>
  <c r="F151" i="29" s="1"/>
  <c r="G150" i="31"/>
  <c r="D151" i="31"/>
  <c r="D72" i="29"/>
  <c r="E72" i="29"/>
  <c r="E73" i="29" s="1"/>
  <c r="H71" i="29"/>
  <c r="G71" i="29"/>
  <c r="D148" i="44"/>
  <c r="E148" i="44" s="1"/>
  <c r="G147" i="44"/>
  <c r="B68" i="13"/>
  <c r="I67" i="39"/>
  <c r="B67" i="40"/>
  <c r="F67" i="40"/>
  <c r="G148" i="13"/>
  <c r="D149" i="13"/>
  <c r="F67" i="41"/>
  <c r="B67" i="41"/>
  <c r="F67" i="43"/>
  <c r="B67" i="43"/>
  <c r="I146" i="39"/>
  <c r="H146" i="39"/>
  <c r="B67" i="37"/>
  <c r="F67" i="37"/>
  <c r="E67" i="41"/>
  <c r="B148" i="42"/>
  <c r="F148" i="42"/>
  <c r="B67" i="38"/>
  <c r="B147" i="39"/>
  <c r="F147" i="39"/>
  <c r="G146" i="43"/>
  <c r="D147" i="43"/>
  <c r="E147" i="43" s="1"/>
  <c r="H147" i="42"/>
  <c r="I147" i="42"/>
  <c r="B66" i="45"/>
  <c r="F66" i="45"/>
  <c r="H66" i="45"/>
  <c r="G66" i="45"/>
  <c r="F70" i="28"/>
  <c r="H70" i="28"/>
  <c r="B70" i="28"/>
  <c r="E67" i="38"/>
  <c r="F67" i="38" s="1"/>
  <c r="D147" i="41"/>
  <c r="G146" i="41"/>
  <c r="E147" i="41"/>
  <c r="D70" i="31"/>
  <c r="E70" i="31"/>
  <c r="F66" i="42"/>
  <c r="H66" i="42" s="1"/>
  <c r="B66" i="42"/>
  <c r="B68" i="44"/>
  <c r="F68" i="44"/>
  <c r="G68" i="44"/>
  <c r="F69" i="30"/>
  <c r="H69" i="30"/>
  <c r="B69" i="30"/>
  <c r="G69" i="30"/>
  <c r="H69" i="31"/>
  <c r="G146" i="45"/>
  <c r="D147" i="45"/>
  <c r="E147" i="45" s="1"/>
  <c r="E68" i="13"/>
  <c r="F68" i="13" s="1"/>
  <c r="G69" i="31"/>
  <c r="F68" i="39"/>
  <c r="H68" i="39" s="1"/>
  <c r="B68" i="39"/>
  <c r="F72" i="27"/>
  <c r="H72" i="27"/>
  <c r="G72" i="27"/>
  <c r="G73" i="27" s="1"/>
  <c r="B72" i="27"/>
  <c r="B72" i="24"/>
  <c r="G72" i="24"/>
  <c r="G73" i="24" s="1"/>
  <c r="F72" i="24"/>
  <c r="H72" i="24" s="1"/>
  <c r="I154" i="5" l="1"/>
  <c r="H154" i="5"/>
  <c r="H155" i="5" s="1"/>
  <c r="H154" i="25"/>
  <c r="H155" i="25" s="1"/>
  <c r="I154" i="25"/>
  <c r="I155" i="25" s="1"/>
  <c r="E152" i="24"/>
  <c r="B152" i="24"/>
  <c r="F152" i="24"/>
  <c r="E147" i="40"/>
  <c r="F147" i="40" s="1"/>
  <c r="G150" i="28"/>
  <c r="D151" i="28"/>
  <c r="H151" i="24"/>
  <c r="I151" i="24"/>
  <c r="J150" i="29"/>
  <c r="F154" i="22"/>
  <c r="G154" i="22" s="1"/>
  <c r="H146" i="40"/>
  <c r="I146" i="40"/>
  <c r="I148" i="30"/>
  <c r="H148" i="30"/>
  <c r="H146" i="37"/>
  <c r="I146" i="37"/>
  <c r="E151" i="27"/>
  <c r="F151" i="27" s="1"/>
  <c r="B151" i="27"/>
  <c r="G153" i="23"/>
  <c r="D154" i="23"/>
  <c r="G147" i="38"/>
  <c r="D148" i="38"/>
  <c r="E148" i="38" s="1"/>
  <c r="B149" i="30"/>
  <c r="F149" i="30"/>
  <c r="E147" i="37"/>
  <c r="B147" i="37"/>
  <c r="F147" i="37"/>
  <c r="I150" i="27"/>
  <c r="J150" i="27" s="1"/>
  <c r="H150" i="27"/>
  <c r="D152" i="29"/>
  <c r="B152" i="29" s="1"/>
  <c r="G151" i="29"/>
  <c r="D69" i="13"/>
  <c r="E69" i="13" s="1"/>
  <c r="H68" i="13"/>
  <c r="G68" i="13"/>
  <c r="D68" i="38"/>
  <c r="E68" i="38" s="1"/>
  <c r="G67" i="38"/>
  <c r="H67" i="38"/>
  <c r="I72" i="24"/>
  <c r="I73" i="24" s="1"/>
  <c r="H73" i="24"/>
  <c r="D68" i="37"/>
  <c r="D68" i="43"/>
  <c r="E68" i="43" s="1"/>
  <c r="D68" i="40"/>
  <c r="E68" i="40"/>
  <c r="H147" i="44"/>
  <c r="I147" i="44"/>
  <c r="B151" i="31"/>
  <c r="D69" i="44"/>
  <c r="E69" i="44" s="1"/>
  <c r="G67" i="37"/>
  <c r="I150" i="31"/>
  <c r="H150" i="31"/>
  <c r="I72" i="27"/>
  <c r="I73" i="27" s="1"/>
  <c r="H73" i="27"/>
  <c r="D68" i="41"/>
  <c r="E68" i="41" s="1"/>
  <c r="G67" i="40"/>
  <c r="F148" i="44"/>
  <c r="B148" i="44"/>
  <c r="D71" i="28"/>
  <c r="H67" i="41"/>
  <c r="I67" i="41" s="1"/>
  <c r="H67" i="40"/>
  <c r="I67" i="40" s="1"/>
  <c r="I69" i="31"/>
  <c r="I69" i="30"/>
  <c r="E70" i="30"/>
  <c r="D70" i="30"/>
  <c r="G70" i="28"/>
  <c r="I70" i="28" s="1"/>
  <c r="B147" i="43"/>
  <c r="F147" i="43"/>
  <c r="G148" i="42"/>
  <c r="D149" i="42"/>
  <c r="E149" i="42" s="1"/>
  <c r="G67" i="41"/>
  <c r="I71" i="29"/>
  <c r="D67" i="42"/>
  <c r="I146" i="43"/>
  <c r="H146" i="43"/>
  <c r="B149" i="13"/>
  <c r="G66" i="42"/>
  <c r="I66" i="42" s="1"/>
  <c r="F70" i="31"/>
  <c r="G70" i="31" s="1"/>
  <c r="B70" i="31"/>
  <c r="H70" i="31"/>
  <c r="H146" i="41"/>
  <c r="I146" i="41"/>
  <c r="I66" i="45"/>
  <c r="G147" i="39"/>
  <c r="D148" i="39"/>
  <c r="E148" i="39" s="1"/>
  <c r="G67" i="43"/>
  <c r="H148" i="13"/>
  <c r="I148" i="13"/>
  <c r="B72" i="29"/>
  <c r="F72" i="29"/>
  <c r="G72" i="29" s="1"/>
  <c r="G73" i="29" s="1"/>
  <c r="D69" i="39"/>
  <c r="E69" i="39"/>
  <c r="F147" i="45"/>
  <c r="B147" i="45"/>
  <c r="G68" i="39"/>
  <c r="I68" i="39" s="1"/>
  <c r="H146" i="45"/>
  <c r="I146" i="45"/>
  <c r="H68" i="44"/>
  <c r="I68" i="44" s="1"/>
  <c r="B147" i="41"/>
  <c r="F147" i="41"/>
  <c r="D67" i="45"/>
  <c r="H67" i="37"/>
  <c r="I67" i="37" s="1"/>
  <c r="H67" i="43"/>
  <c r="I67" i="43" s="1"/>
  <c r="E149" i="13"/>
  <c r="F149" i="13" s="1"/>
  <c r="E151" i="31"/>
  <c r="F151" i="31" s="1"/>
  <c r="D152" i="27" l="1"/>
  <c r="G151" i="27"/>
  <c r="H147" i="38"/>
  <c r="I147" i="38"/>
  <c r="G147" i="40"/>
  <c r="D148" i="40"/>
  <c r="E152" i="29"/>
  <c r="F152" i="29" s="1"/>
  <c r="G149" i="30"/>
  <c r="D150" i="30"/>
  <c r="B150" i="30" s="1"/>
  <c r="E150" i="30"/>
  <c r="F150" i="30" s="1"/>
  <c r="H154" i="22"/>
  <c r="H155" i="22" s="1"/>
  <c r="I154" i="22"/>
  <c r="I155" i="22" s="1"/>
  <c r="B151" i="28"/>
  <c r="D153" i="24"/>
  <c r="G152" i="24"/>
  <c r="D148" i="37"/>
  <c r="G147" i="37"/>
  <c r="E154" i="23"/>
  <c r="E155" i="23" s="1"/>
  <c r="B154" i="23"/>
  <c r="J148" i="30"/>
  <c r="H150" i="28"/>
  <c r="I150" i="28"/>
  <c r="B148" i="38"/>
  <c r="F148" i="38"/>
  <c r="I153" i="23"/>
  <c r="H153" i="23"/>
  <c r="E151" i="28"/>
  <c r="F151" i="28" s="1"/>
  <c r="J154" i="5"/>
  <c r="J155" i="5" s="1"/>
  <c r="I155" i="5"/>
  <c r="J150" i="31"/>
  <c r="G152" i="29"/>
  <c r="D153" i="29"/>
  <c r="I151" i="29"/>
  <c r="H151" i="29"/>
  <c r="G149" i="13"/>
  <c r="D150" i="13"/>
  <c r="E150" i="13" s="1"/>
  <c r="D152" i="31"/>
  <c r="G151" i="31"/>
  <c r="D148" i="41"/>
  <c r="G147" i="41"/>
  <c r="B68" i="41"/>
  <c r="F68" i="41"/>
  <c r="G68" i="41"/>
  <c r="F68" i="38"/>
  <c r="G68" i="38"/>
  <c r="H68" i="38"/>
  <c r="B68" i="38"/>
  <c r="B69" i="39"/>
  <c r="H69" i="39"/>
  <c r="F69" i="39"/>
  <c r="B68" i="40"/>
  <c r="G68" i="40"/>
  <c r="H68" i="40"/>
  <c r="F68" i="40"/>
  <c r="I70" i="31"/>
  <c r="F149" i="42"/>
  <c r="B149" i="42"/>
  <c r="F70" i="30"/>
  <c r="B70" i="30"/>
  <c r="B67" i="45"/>
  <c r="D148" i="45"/>
  <c r="E148" i="45" s="1"/>
  <c r="G147" i="45"/>
  <c r="G69" i="44"/>
  <c r="F69" i="44"/>
  <c r="B69" i="44"/>
  <c r="B68" i="43"/>
  <c r="F68" i="43"/>
  <c r="G68" i="43" s="1"/>
  <c r="I68" i="13"/>
  <c r="D71" i="31"/>
  <c r="E71" i="31" s="1"/>
  <c r="B67" i="42"/>
  <c r="I148" i="42"/>
  <c r="H148" i="42"/>
  <c r="B71" i="28"/>
  <c r="G148" i="44"/>
  <c r="D149" i="44"/>
  <c r="E149" i="44" s="1"/>
  <c r="B68" i="37"/>
  <c r="B148" i="39"/>
  <c r="F148" i="39"/>
  <c r="H72" i="29"/>
  <c r="E67" i="45"/>
  <c r="F67" i="45" s="1"/>
  <c r="H147" i="39"/>
  <c r="I147" i="39"/>
  <c r="E67" i="42"/>
  <c r="F67" i="42" s="1"/>
  <c r="G147" i="43"/>
  <c r="D148" i="43"/>
  <c r="E148" i="43" s="1"/>
  <c r="E71" i="28"/>
  <c r="F71" i="28" s="1"/>
  <c r="E68" i="37"/>
  <c r="F68" i="37" s="1"/>
  <c r="I67" i="38"/>
  <c r="F69" i="13"/>
  <c r="G69" i="13"/>
  <c r="B69" i="13"/>
  <c r="H69" i="13"/>
  <c r="I69" i="13" s="1"/>
  <c r="D152" i="28" l="1"/>
  <c r="B152" i="28" s="1"/>
  <c r="G151" i="28"/>
  <c r="E153" i="24"/>
  <c r="F153" i="24"/>
  <c r="B153" i="24"/>
  <c r="J151" i="29"/>
  <c r="G148" i="38"/>
  <c r="D149" i="38"/>
  <c r="E149" i="38" s="1"/>
  <c r="I147" i="37"/>
  <c r="H147" i="37"/>
  <c r="D151" i="30"/>
  <c r="G150" i="30"/>
  <c r="B148" i="40"/>
  <c r="E148" i="37"/>
  <c r="F148" i="37" s="1"/>
  <c r="B148" i="37"/>
  <c r="I147" i="40"/>
  <c r="H147" i="40"/>
  <c r="H151" i="27"/>
  <c r="I151" i="27"/>
  <c r="J150" i="28"/>
  <c r="F154" i="23"/>
  <c r="G154" i="23" s="1"/>
  <c r="I152" i="24"/>
  <c r="H152" i="24"/>
  <c r="I149" i="30"/>
  <c r="H149" i="30"/>
  <c r="E148" i="40"/>
  <c r="F148" i="40" s="1"/>
  <c r="E152" i="27"/>
  <c r="F152" i="27" s="1"/>
  <c r="B152" i="27"/>
  <c r="B153" i="29"/>
  <c r="I152" i="29"/>
  <c r="H152" i="29"/>
  <c r="E153" i="29"/>
  <c r="F153" i="29" s="1"/>
  <c r="D68" i="42"/>
  <c r="E68" i="42" s="1"/>
  <c r="H67" i="42"/>
  <c r="G67" i="42"/>
  <c r="D68" i="45"/>
  <c r="E68" i="45" s="1"/>
  <c r="G67" i="45"/>
  <c r="H67" i="45"/>
  <c r="I67" i="45" s="1"/>
  <c r="D69" i="37"/>
  <c r="E69" i="37" s="1"/>
  <c r="H68" i="37"/>
  <c r="G68" i="37"/>
  <c r="D72" i="28"/>
  <c r="E72" i="28" s="1"/>
  <c r="E73" i="28" s="1"/>
  <c r="G71" i="28"/>
  <c r="H71" i="28"/>
  <c r="I71" i="28" s="1"/>
  <c r="H147" i="41"/>
  <c r="I147" i="41"/>
  <c r="D71" i="30"/>
  <c r="B148" i="41"/>
  <c r="D70" i="44"/>
  <c r="H70" i="30"/>
  <c r="I68" i="38"/>
  <c r="D69" i="41"/>
  <c r="H151" i="31"/>
  <c r="I151" i="31"/>
  <c r="B152" i="31"/>
  <c r="H69" i="44"/>
  <c r="I69" i="44" s="1"/>
  <c r="D150" i="42"/>
  <c r="G149" i="42"/>
  <c r="D70" i="39"/>
  <c r="E70" i="39"/>
  <c r="D69" i="38"/>
  <c r="H68" i="41"/>
  <c r="I68" i="41" s="1"/>
  <c r="E152" i="31"/>
  <c r="F152" i="31" s="1"/>
  <c r="F149" i="44"/>
  <c r="B149" i="44"/>
  <c r="I69" i="39"/>
  <c r="F150" i="13"/>
  <c r="B150" i="13"/>
  <c r="F71" i="31"/>
  <c r="H71" i="31"/>
  <c r="B71" i="31"/>
  <c r="G71" i="31"/>
  <c r="F148" i="43"/>
  <c r="B148" i="43"/>
  <c r="H68" i="43"/>
  <c r="I68" i="43" s="1"/>
  <c r="D70" i="13"/>
  <c r="E70" i="13" s="1"/>
  <c r="I147" i="43"/>
  <c r="H147" i="43"/>
  <c r="I72" i="29"/>
  <c r="I73" i="29" s="1"/>
  <c r="H73" i="29"/>
  <c r="H148" i="44"/>
  <c r="I148" i="44"/>
  <c r="H147" i="45"/>
  <c r="I147" i="45"/>
  <c r="D69" i="40"/>
  <c r="E69" i="40" s="1"/>
  <c r="G69" i="39"/>
  <c r="I149" i="13"/>
  <c r="H149" i="13"/>
  <c r="G148" i="39"/>
  <c r="D149" i="39"/>
  <c r="E149" i="39" s="1"/>
  <c r="D69" i="43"/>
  <c r="E69" i="43"/>
  <c r="F148" i="45"/>
  <c r="B148" i="45"/>
  <c r="G70" i="30"/>
  <c r="I68" i="40"/>
  <c r="E148" i="41"/>
  <c r="F148" i="41" s="1"/>
  <c r="D153" i="27" l="1"/>
  <c r="G152" i="27"/>
  <c r="G148" i="40"/>
  <c r="D149" i="40"/>
  <c r="B149" i="40" s="1"/>
  <c r="G148" i="37"/>
  <c r="D149" i="37"/>
  <c r="B149" i="37" s="1"/>
  <c r="E149" i="37"/>
  <c r="F149" i="37" s="1"/>
  <c r="J149" i="30"/>
  <c r="J151" i="27"/>
  <c r="E152" i="28"/>
  <c r="F152" i="28" s="1"/>
  <c r="I150" i="30"/>
  <c r="J150" i="30" s="1"/>
  <c r="H150" i="30"/>
  <c r="F149" i="38"/>
  <c r="B149" i="38"/>
  <c r="H151" i="28"/>
  <c r="I151" i="28"/>
  <c r="I154" i="23"/>
  <c r="I155" i="23" s="1"/>
  <c r="H154" i="23"/>
  <c r="H155" i="23" s="1"/>
  <c r="E151" i="30"/>
  <c r="F151" i="30" s="1"/>
  <c r="B151" i="30"/>
  <c r="H148" i="38"/>
  <c r="I148" i="38"/>
  <c r="G153" i="24"/>
  <c r="D154" i="24"/>
  <c r="G153" i="29"/>
  <c r="D154" i="29"/>
  <c r="J152" i="29"/>
  <c r="J151" i="31"/>
  <c r="G148" i="41"/>
  <c r="D149" i="41"/>
  <c r="E149" i="41" s="1"/>
  <c r="B69" i="38"/>
  <c r="B69" i="41"/>
  <c r="B71" i="30"/>
  <c r="F69" i="43"/>
  <c r="G69" i="43" s="1"/>
  <c r="H69" i="43"/>
  <c r="B69" i="43"/>
  <c r="D149" i="43"/>
  <c r="E149" i="43" s="1"/>
  <c r="G148" i="43"/>
  <c r="E71" i="30"/>
  <c r="F71" i="30" s="1"/>
  <c r="G70" i="13"/>
  <c r="B70" i="13"/>
  <c r="H70" i="13"/>
  <c r="I70" i="13" s="1"/>
  <c r="F70" i="13"/>
  <c r="F70" i="39"/>
  <c r="H70" i="39"/>
  <c r="B70" i="39"/>
  <c r="D153" i="31"/>
  <c r="G152" i="31"/>
  <c r="I70" i="30"/>
  <c r="F149" i="39"/>
  <c r="B149" i="39"/>
  <c r="B70" i="44"/>
  <c r="B72" i="28"/>
  <c r="F72" i="28"/>
  <c r="H72" i="28" s="1"/>
  <c r="G72" i="28"/>
  <c r="G73" i="28" s="1"/>
  <c r="F68" i="45"/>
  <c r="H68" i="45" s="1"/>
  <c r="B68" i="45"/>
  <c r="I148" i="39"/>
  <c r="H148" i="39"/>
  <c r="I71" i="31"/>
  <c r="G149" i="44"/>
  <c r="D150" i="44"/>
  <c r="B150" i="42"/>
  <c r="E70" i="44"/>
  <c r="F70" i="44" s="1"/>
  <c r="H149" i="42"/>
  <c r="I149" i="42"/>
  <c r="D72" i="31"/>
  <c r="E150" i="42"/>
  <c r="F150" i="42" s="1"/>
  <c r="I68" i="37"/>
  <c r="I67" i="42"/>
  <c r="F69" i="40"/>
  <c r="B69" i="40"/>
  <c r="D149" i="45"/>
  <c r="E149" i="45" s="1"/>
  <c r="G148" i="45"/>
  <c r="G150" i="13"/>
  <c r="D151" i="13"/>
  <c r="E151" i="13" s="1"/>
  <c r="E69" i="38"/>
  <c r="F69" i="38" s="1"/>
  <c r="E69" i="41"/>
  <c r="F69" i="41" s="1"/>
  <c r="B69" i="37"/>
  <c r="F69" i="37"/>
  <c r="H69" i="37"/>
  <c r="F68" i="42"/>
  <c r="B68" i="42"/>
  <c r="G68" i="42"/>
  <c r="G151" i="30" l="1"/>
  <c r="D152" i="30"/>
  <c r="B152" i="30" s="1"/>
  <c r="D150" i="37"/>
  <c r="G149" i="37"/>
  <c r="E150" i="37"/>
  <c r="B154" i="24"/>
  <c r="D153" i="28"/>
  <c r="G152" i="28"/>
  <c r="H148" i="40"/>
  <c r="I148" i="40"/>
  <c r="E154" i="24"/>
  <c r="E155" i="24" s="1"/>
  <c r="D150" i="38"/>
  <c r="E150" i="38" s="1"/>
  <c r="G149" i="38"/>
  <c r="H148" i="37"/>
  <c r="I148" i="37"/>
  <c r="I152" i="27"/>
  <c r="H152" i="27"/>
  <c r="H153" i="24"/>
  <c r="I153" i="24"/>
  <c r="J151" i="28"/>
  <c r="E149" i="40"/>
  <c r="F149" i="40" s="1"/>
  <c r="E153" i="27"/>
  <c r="F153" i="27" s="1"/>
  <c r="B153" i="27"/>
  <c r="E154" i="29"/>
  <c r="E155" i="29" s="1"/>
  <c r="B154" i="29"/>
  <c r="I153" i="29"/>
  <c r="H153" i="29"/>
  <c r="D70" i="38"/>
  <c r="E70" i="38"/>
  <c r="H69" i="38"/>
  <c r="G69" i="38"/>
  <c r="I72" i="28"/>
  <c r="I73" i="28" s="1"/>
  <c r="H73" i="28"/>
  <c r="D72" i="30"/>
  <c r="H71" i="30"/>
  <c r="G71" i="30"/>
  <c r="D71" i="44"/>
  <c r="G70" i="44"/>
  <c r="H70" i="44"/>
  <c r="I70" i="44" s="1"/>
  <c r="E70" i="41"/>
  <c r="D70" i="41"/>
  <c r="H69" i="41"/>
  <c r="I69" i="41" s="1"/>
  <c r="G69" i="41"/>
  <c r="G150" i="42"/>
  <c r="D151" i="42"/>
  <c r="B150" i="44"/>
  <c r="I152" i="31"/>
  <c r="H152" i="31"/>
  <c r="I69" i="43"/>
  <c r="E150" i="44"/>
  <c r="F150" i="44" s="1"/>
  <c r="D69" i="45"/>
  <c r="E69" i="45"/>
  <c r="B153" i="31"/>
  <c r="D70" i="40"/>
  <c r="E70" i="40" s="1"/>
  <c r="E153" i="31"/>
  <c r="F153" i="31" s="1"/>
  <c r="D70" i="43"/>
  <c r="E70" i="43"/>
  <c r="B72" i="31"/>
  <c r="F72" i="31"/>
  <c r="H72" i="31" s="1"/>
  <c r="I148" i="45"/>
  <c r="H148" i="45"/>
  <c r="G149" i="39"/>
  <c r="D150" i="39"/>
  <c r="D70" i="37"/>
  <c r="E70" i="37"/>
  <c r="E72" i="31"/>
  <c r="E73" i="31" s="1"/>
  <c r="F149" i="45"/>
  <c r="B149" i="45"/>
  <c r="H150" i="13"/>
  <c r="I150" i="13"/>
  <c r="G69" i="37"/>
  <c r="I69" i="37" s="1"/>
  <c r="H149" i="44"/>
  <c r="I149" i="44"/>
  <c r="D69" i="42"/>
  <c r="E69" i="42" s="1"/>
  <c r="H69" i="40"/>
  <c r="I69" i="40" s="1"/>
  <c r="D71" i="39"/>
  <c r="E71" i="39" s="1"/>
  <c r="H148" i="43"/>
  <c r="I148" i="43"/>
  <c r="H68" i="42"/>
  <c r="I68" i="42" s="1"/>
  <c r="G69" i="40"/>
  <c r="G68" i="45"/>
  <c r="I68" i="45" s="1"/>
  <c r="G70" i="39"/>
  <c r="I70" i="39" s="1"/>
  <c r="F149" i="43"/>
  <c r="B149" i="43"/>
  <c r="F149" i="41"/>
  <c r="B149" i="41"/>
  <c r="B151" i="13"/>
  <c r="F151" i="13"/>
  <c r="D71" i="13"/>
  <c r="E71" i="13" s="1"/>
  <c r="H148" i="41"/>
  <c r="I148" i="41"/>
  <c r="G153" i="27" l="1"/>
  <c r="D154" i="27"/>
  <c r="E154" i="27"/>
  <c r="E155" i="27" s="1"/>
  <c r="D150" i="40"/>
  <c r="E150" i="40" s="1"/>
  <c r="G149" i="40"/>
  <c r="B150" i="37"/>
  <c r="F150" i="37"/>
  <c r="F154" i="29"/>
  <c r="G154" i="29" s="1"/>
  <c r="J152" i="27"/>
  <c r="H149" i="38"/>
  <c r="I149" i="38"/>
  <c r="F154" i="24"/>
  <c r="G154" i="24" s="1"/>
  <c r="E152" i="30"/>
  <c r="F152" i="30" s="1"/>
  <c r="B150" i="38"/>
  <c r="F150" i="38"/>
  <c r="I152" i="28"/>
  <c r="H152" i="28"/>
  <c r="E153" i="28"/>
  <c r="F153" i="28" s="1"/>
  <c r="B153" i="28"/>
  <c r="I149" i="37"/>
  <c r="H149" i="37"/>
  <c r="H151" i="30"/>
  <c r="I151" i="30"/>
  <c r="I154" i="29"/>
  <c r="I155" i="29" s="1"/>
  <c r="H154" i="29"/>
  <c r="H155" i="29" s="1"/>
  <c r="J152" i="31"/>
  <c r="J153" i="29"/>
  <c r="H73" i="31"/>
  <c r="B72" i="30"/>
  <c r="G72" i="31"/>
  <c r="G73" i="31" s="1"/>
  <c r="G153" i="31"/>
  <c r="D154" i="31"/>
  <c r="D151" i="44"/>
  <c r="E151" i="44" s="1"/>
  <c r="G150" i="44"/>
  <c r="B150" i="39"/>
  <c r="B151" i="42"/>
  <c r="E150" i="39"/>
  <c r="F150" i="39" s="1"/>
  <c r="B69" i="45"/>
  <c r="F69" i="45"/>
  <c r="G69" i="45"/>
  <c r="H69" i="45"/>
  <c r="I69" i="45" s="1"/>
  <c r="E151" i="42"/>
  <c r="F151" i="42" s="1"/>
  <c r="B71" i="44"/>
  <c r="H149" i="39"/>
  <c r="I149" i="39"/>
  <c r="F70" i="43"/>
  <c r="B70" i="43"/>
  <c r="G70" i="43"/>
  <c r="H70" i="43"/>
  <c r="I70" i="43" s="1"/>
  <c r="I150" i="42"/>
  <c r="H150" i="42"/>
  <c r="E71" i="44"/>
  <c r="F71" i="44" s="1"/>
  <c r="I69" i="38"/>
  <c r="D150" i="43"/>
  <c r="E150" i="43" s="1"/>
  <c r="G149" i="43"/>
  <c r="F69" i="42"/>
  <c r="H69" i="42"/>
  <c r="I69" i="42" s="1"/>
  <c r="G69" i="42"/>
  <c r="B69" i="42"/>
  <c r="H70" i="37"/>
  <c r="I70" i="37" s="1"/>
  <c r="F70" i="37"/>
  <c r="G70" i="37"/>
  <c r="B70" i="37"/>
  <c r="B71" i="13"/>
  <c r="F71" i="13"/>
  <c r="H71" i="13"/>
  <c r="G151" i="13"/>
  <c r="D152" i="13"/>
  <c r="E152" i="13" s="1"/>
  <c r="G149" i="45"/>
  <c r="D150" i="45"/>
  <c r="D150" i="41"/>
  <c r="G149" i="41"/>
  <c r="I71" i="30"/>
  <c r="F70" i="38"/>
  <c r="H70" i="38"/>
  <c r="B70" i="38"/>
  <c r="B71" i="39"/>
  <c r="F71" i="39"/>
  <c r="B70" i="40"/>
  <c r="F70" i="40"/>
  <c r="G70" i="40"/>
  <c r="H70" i="40"/>
  <c r="I70" i="40" s="1"/>
  <c r="F70" i="41"/>
  <c r="H70" i="41" s="1"/>
  <c r="B70" i="41"/>
  <c r="E72" i="30"/>
  <c r="E73" i="30" s="1"/>
  <c r="G153" i="28" l="1"/>
  <c r="D154" i="28"/>
  <c r="D151" i="37"/>
  <c r="G150" i="37"/>
  <c r="G152" i="30"/>
  <c r="E153" i="30"/>
  <c r="D153" i="30"/>
  <c r="J151" i="30"/>
  <c r="J152" i="28"/>
  <c r="I154" i="24"/>
  <c r="I155" i="24" s="1"/>
  <c r="H154" i="24"/>
  <c r="H155" i="24" s="1"/>
  <c r="I149" i="40"/>
  <c r="H149" i="40"/>
  <c r="B154" i="27"/>
  <c r="F154" i="27"/>
  <c r="G154" i="27" s="1"/>
  <c r="D151" i="38"/>
  <c r="G150" i="38"/>
  <c r="F150" i="40"/>
  <c r="B150" i="40"/>
  <c r="I153" i="27"/>
  <c r="H153" i="27"/>
  <c r="J154" i="29"/>
  <c r="J155" i="29" s="1"/>
  <c r="G151" i="42"/>
  <c r="D152" i="42"/>
  <c r="D72" i="44"/>
  <c r="G71" i="44"/>
  <c r="H71" i="44"/>
  <c r="I71" i="44" s="1"/>
  <c r="D151" i="39"/>
  <c r="E151" i="39" s="1"/>
  <c r="G150" i="39"/>
  <c r="H149" i="41"/>
  <c r="I149" i="41"/>
  <c r="B154" i="31"/>
  <c r="F72" i="30"/>
  <c r="B150" i="41"/>
  <c r="D72" i="13"/>
  <c r="H153" i="31"/>
  <c r="I153" i="31"/>
  <c r="E154" i="31"/>
  <c r="E155" i="31" s="1"/>
  <c r="B150" i="45"/>
  <c r="D70" i="42"/>
  <c r="E70" i="42" s="1"/>
  <c r="E150" i="45"/>
  <c r="F150" i="45" s="1"/>
  <c r="D71" i="40"/>
  <c r="E71" i="40" s="1"/>
  <c r="D71" i="38"/>
  <c r="E71" i="38"/>
  <c r="H149" i="45"/>
  <c r="I149" i="45"/>
  <c r="G70" i="38"/>
  <c r="I70" i="38" s="1"/>
  <c r="I149" i="43"/>
  <c r="H149" i="43"/>
  <c r="I150" i="44"/>
  <c r="H150" i="44"/>
  <c r="D72" i="39"/>
  <c r="E72" i="39"/>
  <c r="E73" i="39" s="1"/>
  <c r="G71" i="13"/>
  <c r="I71" i="13" s="1"/>
  <c r="G71" i="39"/>
  <c r="F152" i="13"/>
  <c r="B152" i="13"/>
  <c r="D71" i="37"/>
  <c r="E71" i="37" s="1"/>
  <c r="B150" i="43"/>
  <c r="F150" i="43"/>
  <c r="E71" i="43"/>
  <c r="D71" i="43"/>
  <c r="D70" i="45"/>
  <c r="E70" i="45" s="1"/>
  <c r="D71" i="41"/>
  <c r="E71" i="41" s="1"/>
  <c r="G70" i="41"/>
  <c r="I70" i="41" s="1"/>
  <c r="H71" i="39"/>
  <c r="I71" i="39" s="1"/>
  <c r="E150" i="41"/>
  <c r="F150" i="41" s="1"/>
  <c r="H151" i="13"/>
  <c r="I151" i="13"/>
  <c r="F151" i="44"/>
  <c r="B151" i="44"/>
  <c r="I72" i="31"/>
  <c r="I73" i="31" s="1"/>
  <c r="J153" i="31" l="1"/>
  <c r="H150" i="38"/>
  <c r="I150" i="38"/>
  <c r="B151" i="37"/>
  <c r="J153" i="27"/>
  <c r="E151" i="38"/>
  <c r="F151" i="38" s="1"/>
  <c r="B151" i="38"/>
  <c r="H152" i="30"/>
  <c r="I152" i="30"/>
  <c r="B154" i="28"/>
  <c r="H154" i="27"/>
  <c r="H155" i="27" s="1"/>
  <c r="I154" i="27"/>
  <c r="E151" i="37"/>
  <c r="F151" i="37" s="1"/>
  <c r="E154" i="28"/>
  <c r="E155" i="28" s="1"/>
  <c r="D151" i="40"/>
  <c r="G150" i="40"/>
  <c r="B153" i="30"/>
  <c r="F153" i="30"/>
  <c r="I150" i="37"/>
  <c r="H150" i="37"/>
  <c r="H153" i="28"/>
  <c r="I153" i="28"/>
  <c r="F154" i="31"/>
  <c r="G154" i="31" s="1"/>
  <c r="H154" i="31" s="1"/>
  <c r="H155" i="31" s="1"/>
  <c r="D151" i="41"/>
  <c r="E151" i="41" s="1"/>
  <c r="G150" i="41"/>
  <c r="D151" i="45"/>
  <c r="E151" i="45" s="1"/>
  <c r="G150" i="45"/>
  <c r="B71" i="38"/>
  <c r="G71" i="38"/>
  <c r="F71" i="38"/>
  <c r="B72" i="44"/>
  <c r="F72" i="44"/>
  <c r="H72" i="44"/>
  <c r="G72" i="44"/>
  <c r="G73" i="44" s="1"/>
  <c r="B70" i="42"/>
  <c r="F70" i="42"/>
  <c r="G72" i="13"/>
  <c r="G73" i="13" s="1"/>
  <c r="F72" i="13"/>
  <c r="H72" i="13"/>
  <c r="B72" i="13"/>
  <c r="E72" i="44"/>
  <c r="E73" i="44" s="1"/>
  <c r="F71" i="40"/>
  <c r="G71" i="40"/>
  <c r="H71" i="40"/>
  <c r="I71" i="40" s="1"/>
  <c r="B71" i="40"/>
  <c r="H71" i="43"/>
  <c r="B71" i="43"/>
  <c r="G71" i="43"/>
  <c r="F71" i="43"/>
  <c r="E72" i="13"/>
  <c r="E73" i="13" s="1"/>
  <c r="H150" i="39"/>
  <c r="I150" i="39"/>
  <c r="B152" i="42"/>
  <c r="F70" i="45"/>
  <c r="H70" i="45"/>
  <c r="G70" i="45"/>
  <c r="B70" i="45"/>
  <c r="F71" i="41"/>
  <c r="H71" i="41"/>
  <c r="G71" i="41"/>
  <c r="B71" i="41"/>
  <c r="D151" i="43"/>
  <c r="E151" i="43" s="1"/>
  <c r="G150" i="43"/>
  <c r="E152" i="42"/>
  <c r="F152" i="42" s="1"/>
  <c r="B71" i="37"/>
  <c r="F71" i="37"/>
  <c r="G71" i="37"/>
  <c r="G152" i="13"/>
  <c r="D153" i="13"/>
  <c r="G151" i="44"/>
  <c r="D152" i="44"/>
  <c r="E152" i="44" s="1"/>
  <c r="B72" i="39"/>
  <c r="F72" i="39"/>
  <c r="G72" i="39"/>
  <c r="G73" i="39" s="1"/>
  <c r="H72" i="39"/>
  <c r="G72" i="30"/>
  <c r="G73" i="30" s="1"/>
  <c r="H72" i="30"/>
  <c r="B151" i="39"/>
  <c r="F151" i="39"/>
  <c r="H151" i="42"/>
  <c r="I151" i="42"/>
  <c r="G151" i="38" l="1"/>
  <c r="D152" i="38"/>
  <c r="G151" i="37"/>
  <c r="D152" i="37"/>
  <c r="B152" i="37" s="1"/>
  <c r="I154" i="31"/>
  <c r="H150" i="40"/>
  <c r="I150" i="40"/>
  <c r="J154" i="27"/>
  <c r="J155" i="27" s="1"/>
  <c r="J152" i="30"/>
  <c r="J153" i="28"/>
  <c r="G153" i="30"/>
  <c r="D154" i="30"/>
  <c r="B151" i="40"/>
  <c r="F151" i="40"/>
  <c r="I155" i="27"/>
  <c r="F154" i="28"/>
  <c r="G154" i="28" s="1"/>
  <c r="E151" i="40"/>
  <c r="D153" i="42"/>
  <c r="E153" i="42" s="1"/>
  <c r="G152" i="42"/>
  <c r="I71" i="41"/>
  <c r="I72" i="13"/>
  <c r="I73" i="13" s="1"/>
  <c r="H73" i="13"/>
  <c r="I72" i="44"/>
  <c r="I73" i="44" s="1"/>
  <c r="H73" i="44"/>
  <c r="D72" i="37"/>
  <c r="D72" i="41"/>
  <c r="I71" i="43"/>
  <c r="I72" i="30"/>
  <c r="I73" i="30" s="1"/>
  <c r="H73" i="30"/>
  <c r="B153" i="13"/>
  <c r="D71" i="42"/>
  <c r="F152" i="44"/>
  <c r="B152" i="44"/>
  <c r="E153" i="13"/>
  <c r="F153" i="13" s="1"/>
  <c r="I150" i="43"/>
  <c r="H150" i="43"/>
  <c r="I70" i="45"/>
  <c r="J154" i="31"/>
  <c r="J155" i="31" s="1"/>
  <c r="I155" i="31"/>
  <c r="I150" i="45"/>
  <c r="H150" i="45"/>
  <c r="H151" i="44"/>
  <c r="I151" i="44"/>
  <c r="I72" i="39"/>
  <c r="I73" i="39" s="1"/>
  <c r="H73" i="39"/>
  <c r="I152" i="13"/>
  <c r="H152" i="13"/>
  <c r="B151" i="43"/>
  <c r="F151" i="43"/>
  <c r="D71" i="45"/>
  <c r="D72" i="40"/>
  <c r="E72" i="40"/>
  <c r="E73" i="40" s="1"/>
  <c r="H70" i="42"/>
  <c r="I70" i="42" s="1"/>
  <c r="D72" i="38"/>
  <c r="F151" i="45"/>
  <c r="B151" i="45"/>
  <c r="I150" i="41"/>
  <c r="H150" i="41"/>
  <c r="G151" i="39"/>
  <c r="D152" i="39"/>
  <c r="H71" i="37"/>
  <c r="I71" i="37" s="1"/>
  <c r="D72" i="43"/>
  <c r="E72" i="43"/>
  <c r="E73" i="43" s="1"/>
  <c r="G70" i="42"/>
  <c r="H71" i="38"/>
  <c r="I71" i="38" s="1"/>
  <c r="B151" i="41"/>
  <c r="F151" i="41"/>
  <c r="G151" i="40" l="1"/>
  <c r="D152" i="40"/>
  <c r="B152" i="40" s="1"/>
  <c r="I151" i="37"/>
  <c r="H151" i="37"/>
  <c r="I154" i="28"/>
  <c r="H154" i="28"/>
  <c r="H155" i="28" s="1"/>
  <c r="E154" i="30"/>
  <c r="E155" i="30" s="1"/>
  <c r="B154" i="30"/>
  <c r="E152" i="38"/>
  <c r="F152" i="38" s="1"/>
  <c r="B152" i="38"/>
  <c r="H153" i="30"/>
  <c r="I153" i="30"/>
  <c r="E152" i="37"/>
  <c r="F152" i="37" s="1"/>
  <c r="H151" i="38"/>
  <c r="I151" i="38"/>
  <c r="D153" i="44"/>
  <c r="E153" i="44"/>
  <c r="G152" i="44"/>
  <c r="D154" i="13"/>
  <c r="E154" i="13" s="1"/>
  <c r="E155" i="13" s="1"/>
  <c r="G153" i="13"/>
  <c r="B152" i="39"/>
  <c r="B72" i="41"/>
  <c r="B71" i="42"/>
  <c r="F71" i="42"/>
  <c r="E72" i="41"/>
  <c r="E73" i="41" s="1"/>
  <c r="B72" i="38"/>
  <c r="H151" i="39"/>
  <c r="I151" i="39"/>
  <c r="B71" i="45"/>
  <c r="E71" i="42"/>
  <c r="B72" i="37"/>
  <c r="E71" i="45"/>
  <c r="F71" i="45" s="1"/>
  <c r="E72" i="37"/>
  <c r="E73" i="37" s="1"/>
  <c r="I152" i="42"/>
  <c r="H152" i="42"/>
  <c r="B72" i="40"/>
  <c r="F72" i="40"/>
  <c r="G72" i="40"/>
  <c r="G73" i="40" s="1"/>
  <c r="H72" i="40"/>
  <c r="F72" i="43"/>
  <c r="G72" i="43" s="1"/>
  <c r="G73" i="43" s="1"/>
  <c r="H72" i="43"/>
  <c r="B72" i="43"/>
  <c r="G151" i="45"/>
  <c r="D152" i="45"/>
  <c r="E152" i="45" s="1"/>
  <c r="D152" i="43"/>
  <c r="E152" i="43" s="1"/>
  <c r="G151" i="43"/>
  <c r="E152" i="39"/>
  <c r="F152" i="39" s="1"/>
  <c r="G151" i="41"/>
  <c r="D152" i="41"/>
  <c r="E152" i="41" s="1"/>
  <c r="E72" i="38"/>
  <c r="E73" i="38" s="1"/>
  <c r="F153" i="42"/>
  <c r="B153" i="42"/>
  <c r="G152" i="37" l="1"/>
  <c r="D153" i="37"/>
  <c r="D153" i="38"/>
  <c r="B153" i="38" s="1"/>
  <c r="G152" i="38"/>
  <c r="J153" i="30"/>
  <c r="E152" i="40"/>
  <c r="F152" i="40" s="1"/>
  <c r="J154" i="28"/>
  <c r="J155" i="28" s="1"/>
  <c r="I155" i="28"/>
  <c r="F154" i="30"/>
  <c r="G154" i="30" s="1"/>
  <c r="H151" i="40"/>
  <c r="I151" i="40"/>
  <c r="D153" i="39"/>
  <c r="E153" i="39" s="1"/>
  <c r="G152" i="39"/>
  <c r="D72" i="45"/>
  <c r="E72" i="45"/>
  <c r="E73" i="45" s="1"/>
  <c r="G71" i="45"/>
  <c r="H71" i="45"/>
  <c r="I71" i="45" s="1"/>
  <c r="G153" i="42"/>
  <c r="D154" i="42"/>
  <c r="B154" i="13"/>
  <c r="F154" i="13"/>
  <c r="G154" i="13" s="1"/>
  <c r="I72" i="40"/>
  <c r="I73" i="40" s="1"/>
  <c r="H73" i="40"/>
  <c r="F72" i="37"/>
  <c r="D72" i="42"/>
  <c r="I152" i="44"/>
  <c r="H152" i="44"/>
  <c r="F152" i="43"/>
  <c r="B152" i="43"/>
  <c r="H71" i="42"/>
  <c r="I71" i="42" s="1"/>
  <c r="B153" i="44"/>
  <c r="F153" i="44"/>
  <c r="B152" i="45"/>
  <c r="F152" i="45"/>
  <c r="I151" i="45"/>
  <c r="H151" i="45"/>
  <c r="F72" i="38"/>
  <c r="G71" i="42"/>
  <c r="I151" i="41"/>
  <c r="H151" i="41"/>
  <c r="F72" i="41"/>
  <c r="I72" i="43"/>
  <c r="I73" i="43" s="1"/>
  <c r="H73" i="43"/>
  <c r="I151" i="43"/>
  <c r="H151" i="43"/>
  <c r="B152" i="41"/>
  <c r="F152" i="41"/>
  <c r="I153" i="13"/>
  <c r="H153" i="13"/>
  <c r="G152" i="40" l="1"/>
  <c r="D153" i="40"/>
  <c r="B153" i="40" s="1"/>
  <c r="I152" i="38"/>
  <c r="H152" i="38"/>
  <c r="H154" i="30"/>
  <c r="H155" i="30" s="1"/>
  <c r="I154" i="30"/>
  <c r="E153" i="37"/>
  <c r="F153" i="37" s="1"/>
  <c r="B153" i="37"/>
  <c r="E153" i="38"/>
  <c r="F153" i="38" s="1"/>
  <c r="I152" i="37"/>
  <c r="H152" i="37"/>
  <c r="B72" i="42"/>
  <c r="H153" i="42"/>
  <c r="I153" i="42"/>
  <c r="G72" i="37"/>
  <c r="G73" i="37" s="1"/>
  <c r="H72" i="37"/>
  <c r="G152" i="41"/>
  <c r="D153" i="41"/>
  <c r="E153" i="41" s="1"/>
  <c r="D153" i="43"/>
  <c r="E153" i="43" s="1"/>
  <c r="G152" i="43"/>
  <c r="G153" i="44"/>
  <c r="D154" i="44"/>
  <c r="H154" i="13"/>
  <c r="H155" i="13" s="1"/>
  <c r="I154" i="13"/>
  <c r="I155" i="13" s="1"/>
  <c r="B72" i="45"/>
  <c r="F72" i="45"/>
  <c r="G72" i="45" s="1"/>
  <c r="G73" i="45" s="1"/>
  <c r="H72" i="45"/>
  <c r="B154" i="42"/>
  <c r="H152" i="39"/>
  <c r="I152" i="39"/>
  <c r="H72" i="41"/>
  <c r="G72" i="41"/>
  <c r="G73" i="41" s="1"/>
  <c r="D153" i="45"/>
  <c r="E153" i="45" s="1"/>
  <c r="G152" i="45"/>
  <c r="H72" i="38"/>
  <c r="G72" i="38"/>
  <c r="G73" i="38" s="1"/>
  <c r="E72" i="42"/>
  <c r="E73" i="42" s="1"/>
  <c r="E154" i="42"/>
  <c r="E155" i="42" s="1"/>
  <c r="B153" i="39"/>
  <c r="F153" i="39"/>
  <c r="G153" i="37" l="1"/>
  <c r="D154" i="37"/>
  <c r="G153" i="38"/>
  <c r="D154" i="38"/>
  <c r="J154" i="30"/>
  <c r="J155" i="30" s="1"/>
  <c r="I155" i="30"/>
  <c r="E153" i="40"/>
  <c r="F153" i="40" s="1"/>
  <c r="H152" i="40"/>
  <c r="I152" i="40"/>
  <c r="H152" i="43"/>
  <c r="I152" i="43"/>
  <c r="I72" i="41"/>
  <c r="I73" i="41" s="1"/>
  <c r="H73" i="41"/>
  <c r="I72" i="45"/>
  <c r="I73" i="45" s="1"/>
  <c r="H73" i="45"/>
  <c r="B153" i="43"/>
  <c r="F153" i="43"/>
  <c r="H153" i="44"/>
  <c r="I153" i="44"/>
  <c r="F154" i="42"/>
  <c r="G154" i="42" s="1"/>
  <c r="H152" i="45"/>
  <c r="I152" i="45"/>
  <c r="I72" i="37"/>
  <c r="I73" i="37" s="1"/>
  <c r="H73" i="37"/>
  <c r="I72" i="38"/>
  <c r="I73" i="38" s="1"/>
  <c r="H73" i="38"/>
  <c r="B153" i="45"/>
  <c r="F153" i="45"/>
  <c r="B153" i="41"/>
  <c r="F153" i="41"/>
  <c r="B154" i="44"/>
  <c r="D154" i="39"/>
  <c r="G153" i="39"/>
  <c r="E154" i="44"/>
  <c r="E155" i="44" s="1"/>
  <c r="H152" i="41"/>
  <c r="I152" i="41"/>
  <c r="F72" i="42"/>
  <c r="D154" i="40" l="1"/>
  <c r="G153" i="40"/>
  <c r="B154" i="38"/>
  <c r="I153" i="38"/>
  <c r="H153" i="38"/>
  <c r="E154" i="37"/>
  <c r="E155" i="37" s="1"/>
  <c r="B154" i="37"/>
  <c r="E154" i="38"/>
  <c r="E155" i="38" s="1"/>
  <c r="H153" i="37"/>
  <c r="I153" i="37"/>
  <c r="F154" i="44"/>
  <c r="G154" i="44" s="1"/>
  <c r="D154" i="43"/>
  <c r="E154" i="43" s="1"/>
  <c r="E155" i="43" s="1"/>
  <c r="G153" i="43"/>
  <c r="I154" i="42"/>
  <c r="I155" i="42" s="1"/>
  <c r="H154" i="42"/>
  <c r="H155" i="42" s="1"/>
  <c r="B154" i="39"/>
  <c r="G153" i="41"/>
  <c r="D154" i="41"/>
  <c r="E154" i="41" s="1"/>
  <c r="E155" i="41" s="1"/>
  <c r="G153" i="45"/>
  <c r="D154" i="45"/>
  <c r="E154" i="45" s="1"/>
  <c r="E155" i="45" s="1"/>
  <c r="I154" i="44"/>
  <c r="I155" i="44" s="1"/>
  <c r="H154" i="44"/>
  <c r="H155" i="44" s="1"/>
  <c r="H72" i="42"/>
  <c r="G72" i="42"/>
  <c r="G73" i="42" s="1"/>
  <c r="E154" i="39"/>
  <c r="E155" i="39" s="1"/>
  <c r="H153" i="39"/>
  <c r="I153" i="39"/>
  <c r="F154" i="38" l="1"/>
  <c r="G154" i="38" s="1"/>
  <c r="H153" i="40"/>
  <c r="I153" i="40"/>
  <c r="F154" i="37"/>
  <c r="G154" i="37" s="1"/>
  <c r="E154" i="40"/>
  <c r="E155" i="40" s="1"/>
  <c r="F154" i="40"/>
  <c r="G154" i="40" s="1"/>
  <c r="B154" i="40"/>
  <c r="F154" i="39"/>
  <c r="G154" i="39" s="1"/>
  <c r="I153" i="41"/>
  <c r="H153" i="41"/>
  <c r="H153" i="45"/>
  <c r="I153" i="45"/>
  <c r="F154" i="45"/>
  <c r="G154" i="45" s="1"/>
  <c r="B154" i="45"/>
  <c r="H153" i="43"/>
  <c r="I153" i="43"/>
  <c r="I72" i="42"/>
  <c r="I73" i="42" s="1"/>
  <c r="H73" i="42"/>
  <c r="H154" i="39"/>
  <c r="H155" i="39" s="1"/>
  <c r="I154" i="39"/>
  <c r="I155" i="39" s="1"/>
  <c r="F154" i="41"/>
  <c r="G154" i="41" s="1"/>
  <c r="B154" i="41"/>
  <c r="F154" i="43"/>
  <c r="G154" i="43" s="1"/>
  <c r="B154" i="43"/>
  <c r="H154" i="37" l="1"/>
  <c r="H155" i="37" s="1"/>
  <c r="I154" i="37"/>
  <c r="I155" i="37" s="1"/>
  <c r="H154" i="40"/>
  <c r="H155" i="40" s="1"/>
  <c r="I154" i="40"/>
  <c r="I155" i="40" s="1"/>
  <c r="I154" i="38"/>
  <c r="I155" i="38" s="1"/>
  <c r="H154" i="38"/>
  <c r="H155" i="38" s="1"/>
  <c r="I154" i="41"/>
  <c r="I155" i="41" s="1"/>
  <c r="H154" i="41"/>
  <c r="H155" i="41" s="1"/>
  <c r="H154" i="43"/>
  <c r="H155" i="43" s="1"/>
  <c r="I154" i="43"/>
  <c r="I155" i="43" s="1"/>
  <c r="H154" i="45"/>
  <c r="H155" i="45" s="1"/>
  <c r="I154" i="45"/>
  <c r="I155" i="45" s="1"/>
  <c r="L18" i="17" l="1"/>
  <c r="V18" i="17" s="1"/>
  <c r="V47" i="17" l="1"/>
  <c r="L47" i="17"/>
  <c r="Q26" i="17" l="1"/>
  <c r="R26" i="17" s="1"/>
  <c r="T26" i="17" s="1"/>
  <c r="Q27" i="17"/>
  <c r="R27" i="17" s="1"/>
  <c r="T27" i="17" s="1"/>
  <c r="Q21" i="17"/>
  <c r="R21" i="17" s="1"/>
  <c r="T21" i="17" s="1"/>
  <c r="Q35" i="17"/>
  <c r="R35" i="17" s="1"/>
  <c r="T35" i="17" s="1"/>
  <c r="Q19" i="17"/>
  <c r="R19" i="17" s="1"/>
  <c r="T19" i="17" s="1"/>
  <c r="Q37" i="17"/>
  <c r="R37" i="17" s="1"/>
  <c r="T37" i="17" s="1"/>
  <c r="Q44" i="17"/>
  <c r="R44" i="17" s="1"/>
  <c r="T44" i="17" s="1"/>
  <c r="Q20" i="17"/>
  <c r="R20" i="17" s="1"/>
  <c r="T20" i="17" s="1"/>
  <c r="Q33" i="17"/>
  <c r="R33" i="17" s="1"/>
  <c r="T33" i="17" s="1"/>
  <c r="Q36" i="17"/>
  <c r="R36" i="17" s="1"/>
  <c r="T36" i="17" s="1"/>
  <c r="Q25" i="17"/>
  <c r="R25" i="17" s="1"/>
  <c r="T25" i="17" s="1"/>
  <c r="Q34" i="17"/>
  <c r="R34" i="17" s="1"/>
  <c r="T34" i="17" s="1"/>
  <c r="Q39" i="17"/>
  <c r="R39" i="17" s="1"/>
  <c r="T39" i="17" s="1"/>
  <c r="Q43" i="17"/>
  <c r="R43" i="17" s="1"/>
  <c r="T43" i="17" s="1"/>
  <c r="Q30" i="17"/>
  <c r="R30" i="17" s="1"/>
  <c r="T30" i="17" s="1"/>
  <c r="Q29" i="17"/>
  <c r="R29" i="17" s="1"/>
  <c r="T29" i="17" s="1"/>
  <c r="Q41" i="17"/>
  <c r="R41" i="17" s="1"/>
  <c r="T41" i="17" s="1"/>
  <c r="Q31" i="17"/>
  <c r="R31" i="17" s="1"/>
  <c r="T31" i="17" s="1"/>
  <c r="Q40" i="17"/>
  <c r="R40" i="17" s="1"/>
  <c r="T40" i="17" s="1"/>
  <c r="Q32" i="17"/>
  <c r="R32" i="17" s="1"/>
  <c r="T32" i="17" s="1"/>
  <c r="Q38" i="17"/>
  <c r="R38" i="17" s="1"/>
  <c r="T38" i="17" s="1"/>
  <c r="Q28" i="17"/>
  <c r="R28" i="17" s="1"/>
  <c r="T28" i="17" s="1"/>
  <c r="Q23" i="17"/>
  <c r="R23" i="17" s="1"/>
  <c r="T23" i="17" s="1"/>
  <c r="Q42" i="17"/>
  <c r="R42" i="17" s="1"/>
  <c r="T42" i="17" s="1"/>
  <c r="Q22" i="17"/>
  <c r="R22" i="17" s="1"/>
  <c r="T22" i="17" s="1"/>
  <c r="Q24" i="17"/>
  <c r="R24" i="17" s="1"/>
  <c r="T24" i="17" s="1"/>
  <c r="Q18" i="17"/>
  <c r="Q48" i="17" l="1"/>
  <c r="R18" i="17"/>
  <c r="R47" i="17" l="1"/>
  <c r="T18" i="17"/>
  <c r="T47" i="17" s="1"/>
</calcChain>
</file>

<file path=xl/comments1.xml><?xml version="1.0" encoding="utf-8"?>
<comments xmlns="http://schemas.openxmlformats.org/spreadsheetml/2006/main">
  <authors>
    <author>R.Pennybaker</author>
    <author>AEP</author>
    <author>rlp</author>
  </authors>
  <commentList>
    <comment ref="C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Base ARR is in cell [P.xxx]!$N$5]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Incentive ARR is in WS-F cell N7.</t>
        </r>
      </text>
    </comment>
    <comment ref="I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"TRUE-UP Adjustment (i.e., Forecast Error) is from WS-G sheet [P.00x] in cell M89.</t>
        </r>
      </text>
    </comment>
    <comment ref="J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"Manually input from previous year's update "</t>
        </r>
        <r>
          <rPr>
            <i/>
            <sz val="8"/>
            <color indexed="81"/>
            <rFont val="Tahoma"/>
            <family val="2"/>
          </rPr>
          <t>Schedule 11 Rates by Project</t>
        </r>
        <r>
          <rPr>
            <sz val="8"/>
            <color indexed="81"/>
            <rFont val="Tahoma"/>
            <family val="2"/>
          </rPr>
          <t>" sheet column Q.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These values reflect SPP remittance to AEP of Schedule 11 revenues for prior Calendar Year T-service transactions.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can also be referred to as the Billing Error.</t>
        </r>
      </text>
    </comment>
    <comment ref="N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This is "Prior Year True-Up (WS-G)"; and "Incentive Amounts" O88</t>
        </r>
      </text>
    </comment>
    <comment ref="O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Prior Year Projected (WS-F) and Incentive Amounts [cell O87]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  <comment ref="K47" authorId="2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This amount was booked by AEP during CY 2014.  Represents Sch. 11 revenues remitted from SPP&gt;</t>
        </r>
      </text>
    </comment>
  </commentList>
</comments>
</file>

<file path=xl/comments2.xml><?xml version="1.0" encoding="utf-8"?>
<comments xmlns="http://schemas.openxmlformats.org/spreadsheetml/2006/main">
  <authors>
    <author>R.Pennybaker</author>
  </authors>
  <commentList>
    <comment ref="L19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value comes from Formula Template file via data INPUT table below.  Then, it supuplies the project year value to the P.xxx sheets.</t>
        </r>
      </text>
    </comment>
  </commentList>
</comments>
</file>

<file path=xl/comments3.xml><?xml version="1.0" encoding="utf-8"?>
<comments xmlns="http://schemas.openxmlformats.org/spreadsheetml/2006/main">
  <authors>
    <author>rlp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previous years depreciation.</t>
        </r>
      </text>
    </comment>
  </commentList>
</comments>
</file>

<file path=xl/comments4.xml><?xml version="1.0" encoding="utf-8"?>
<comments xmlns="http://schemas.openxmlformats.org/spreadsheetml/2006/main">
  <authors>
    <author>Mary Williamson</author>
    <author>rlp</author>
  </authors>
  <commentList>
    <comment ref="O5" authorId="0" shapeId="0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Wavetrap at Snyder portion of this project is being DA to WFEC due to the cancellation of their power plant construction.</t>
        </r>
      </text>
    </comment>
    <comment ref="D100" authorId="1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prior year(s) depreciation.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Projected 2008 ARR not published in 2008 update because project not included until 2009 update.</t>
        </r>
      </text>
    </comment>
  </commentList>
</comments>
</file>

<file path=xl/comments6.xml><?xml version="1.0" encoding="utf-8"?>
<comments xmlns="http://schemas.openxmlformats.org/spreadsheetml/2006/main">
  <authors>
    <author>rlp</author>
  </authors>
  <commentList>
    <comment ref="D2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(not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2007/6 historic values from 09 template calculations (not prev published).</t>
        </r>
      </text>
    </comment>
  </commentList>
</comments>
</file>

<file path=xl/comments7.xml><?xml version="1.0" encoding="utf-8"?>
<comments xmlns="http://schemas.openxmlformats.org/spreadsheetml/2006/main">
  <authors>
    <author>rlp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calculations (data 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2008/7 hist values from 09 template (not prev published).</t>
        </r>
      </text>
    </comment>
  </commentList>
</comments>
</file>

<file path=xl/comments8.xml><?xml version="1.0" encoding="utf-8"?>
<comments xmlns="http://schemas.openxmlformats.org/spreadsheetml/2006/main">
  <authors>
    <author>AEP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Per SPP NTC, Investment (EOY) is input as 94% of actual total investment provided by Planning.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This year's Beginning Balance changed by both an IU (investment update) as well as starting the 94% scaler.  This year (2014) reflects 1st year Investment (EOY) value is scaled 94% on the front end vs SPP scaling ARR values on the back end.</t>
        </r>
      </text>
    </comment>
  </commentList>
</comments>
</file>

<file path=xl/sharedStrings.xml><?xml version="1.0" encoding="utf-8"?>
<sst xmlns="http://schemas.openxmlformats.org/spreadsheetml/2006/main" count="3575" uniqueCount="357">
  <si>
    <t>I.</t>
  </si>
  <si>
    <t xml:space="preserve">   Project ROE Incentive Adder (Enter as whole number)</t>
  </si>
  <si>
    <t>&lt;==Incentive ROE  Cannot Exceed 12.45%</t>
  </si>
  <si>
    <t>SUMMARY OF PROJECTED ANNUAL BASE PLAN AND  NON-BASE PLAN REVENUE REQUIREMENTS</t>
  </si>
  <si>
    <t>%</t>
  </si>
  <si>
    <t>Cost</t>
  </si>
  <si>
    <t>Weighted cost</t>
  </si>
  <si>
    <t>Long Term Debt</t>
  </si>
  <si>
    <t>Rev Require</t>
  </si>
  <si>
    <t xml:space="preserve"> W Incentives</t>
  </si>
  <si>
    <t>Incentive Amounts</t>
  </si>
  <si>
    <t>Preferred Stock</t>
  </si>
  <si>
    <t>Common Stock</t>
  </si>
  <si>
    <t>PROJECTED YEAR</t>
  </si>
  <si>
    <t>R =</t>
  </si>
  <si>
    <r>
      <t xml:space="preserve">Note:  </t>
    </r>
    <r>
      <rPr>
        <sz val="10"/>
        <rFont val="Arial"/>
        <family val="2"/>
      </rPr>
      <t xml:space="preserve">Review formulas in summary to ensure the proper year's revenue requirement is being </t>
    </r>
  </si>
  <si>
    <t>accumulated for each project from the tables below.</t>
  </si>
  <si>
    <t xml:space="preserve">   R   (fom A. above)</t>
  </si>
  <si>
    <t xml:space="preserve">   Return (Rate Base  x  R)</t>
  </si>
  <si>
    <t xml:space="preserve">   Return   (from B. above)</t>
  </si>
  <si>
    <t xml:space="preserve">   EIT=(T/(1-T)) * (1-(WCLTD/WACC)) =</t>
  </si>
  <si>
    <t xml:space="preserve">   Income Tax Calculation  (Return  x  EIT)</t>
  </si>
  <si>
    <t xml:space="preserve">   Income Taxes</t>
  </si>
  <si>
    <t>II.</t>
  </si>
  <si>
    <t>A.   Determine Net Revenue Requirement less return and Income Taxes.</t>
  </si>
  <si>
    <t xml:space="preserve">   Net Revenue Requirement, Less Return and Taxes</t>
  </si>
  <si>
    <t xml:space="preserve">   Income Taxes  (from I.C. above)</t>
  </si>
  <si>
    <t xml:space="preserve">   Revenue Requirement w/ Gross Margin Taxes</t>
  </si>
  <si>
    <t xml:space="preserve">      Basis Point ROE increase (II B. above)</t>
  </si>
  <si>
    <t>Total Additional Gross Margin Tax Revenue Requirement</t>
  </si>
  <si>
    <t>III.</t>
  </si>
  <si>
    <t>Calculation of Composite Depreciation Rate</t>
  </si>
  <si>
    <t>Transmission Plant @ Beginning of Period (P.206, ln 58)</t>
  </si>
  <si>
    <t>Transmission Plant @ End of Period (P.207, ln 58)</t>
  </si>
  <si>
    <t>Composite Depreciation Rate</t>
  </si>
  <si>
    <t>Depreciable Life for Composite Depreciation Rate</t>
  </si>
  <si>
    <t>Round to nearest whole year</t>
  </si>
  <si>
    <t>IV.</t>
  </si>
  <si>
    <t>Determine the Revenue Requirement &amp; Additional Revenue Requirement for facilities receiving incentives.</t>
  </si>
  <si>
    <t>A.   Facilities receiving incentives accepted by FERC in Docket No.</t>
  </si>
  <si>
    <t xml:space="preserve">   (e.g. ER05-925-000)</t>
  </si>
  <si>
    <t xml:space="preserve">Project Description: </t>
  </si>
  <si>
    <t>Current Projected Year Incentive ARR</t>
  </si>
  <si>
    <t>DETAILS</t>
  </si>
  <si>
    <t>TP2006087</t>
  </si>
  <si>
    <t>Investment</t>
  </si>
  <si>
    <t>Current Year</t>
  </si>
  <si>
    <t>CUMMULATIVE HISTORY OF PROJECTED ANNUAL REVENUE REQUIREMENTS:</t>
  </si>
  <si>
    <t>Service Year (yyyy)</t>
  </si>
  <si>
    <t>ROE increase accepted by FERC (Basis Points)</t>
  </si>
  <si>
    <t>Service Month (1-12)</t>
  </si>
  <si>
    <t>FCR w/o incentives, less depreciation</t>
  </si>
  <si>
    <t xml:space="preserve">          TEMPLATE BELOW TO MAINTAIN HISTORY OF PROJECTED ARRS OVER THE </t>
  </si>
  <si>
    <t>Useful life</t>
  </si>
  <si>
    <t>FCR w/incentives approved for these facilities, less dep.</t>
  </si>
  <si>
    <t xml:space="preserve">         LIFE OF THE PROJECT.</t>
  </si>
  <si>
    <t>CIAC (Yes or No)</t>
  </si>
  <si>
    <t>No</t>
  </si>
  <si>
    <t>Annual Depreciation Expense</t>
  </si>
  <si>
    <t>Beginning</t>
  </si>
  <si>
    <t>Depreciation</t>
  </si>
  <si>
    <t>Ending</t>
  </si>
  <si>
    <t>Additional Rev.</t>
  </si>
  <si>
    <t>Project Rev Req't True-up</t>
  </si>
  <si>
    <t>True-up of Incentive</t>
  </si>
  <si>
    <t>Year</t>
  </si>
  <si>
    <t>Balance</t>
  </si>
  <si>
    <t>Expense</t>
  </si>
  <si>
    <t xml:space="preserve">Requirement </t>
  </si>
  <si>
    <t xml:space="preserve">with Incentives </t>
  </si>
  <si>
    <t xml:space="preserve">  </t>
  </si>
  <si>
    <t xml:space="preserve">w/o Incentives </t>
  </si>
  <si>
    <t>Project Totals</t>
  </si>
  <si>
    <t>additional incentive requirement is applicable for the life of this specific project.  Each year the revenue requirement calculated for SPP</t>
  </si>
  <si>
    <t xml:space="preserve">should be incremented by the amount of the incentive revenue calculated for that year on this project. </t>
  </si>
  <si>
    <t>TP2007059</t>
  </si>
  <si>
    <t>TP2006054</t>
  </si>
  <si>
    <t>TP2004147</t>
  </si>
  <si>
    <t>TP2005006</t>
  </si>
  <si>
    <t>Pryor Junction 138/69 Upgrade Transf</t>
  </si>
  <si>
    <t>TP2006090</t>
  </si>
  <si>
    <t>TP2007015</t>
  </si>
  <si>
    <t>TP2005046</t>
  </si>
  <si>
    <t>TP2004033</t>
  </si>
  <si>
    <t>SUMMARY OF TRUED-UP ANNUAL REVENUE REQUIREMENTS FOR SPP BPU &amp; NON-BPU PROJECTS</t>
  </si>
  <si>
    <t>TRUE-UP YEAR</t>
  </si>
  <si>
    <t>Determine the Revenue Requirement, and Additional Revenue Requirement for facilities receiving incentives.</t>
  </si>
  <si>
    <t>Project Description:</t>
  </si>
  <si>
    <t>Details</t>
  </si>
  <si>
    <t>True-Up Year</t>
  </si>
  <si>
    <t>CUMMULATIVE HISTORY OF TRUED-UP ANNUAL REVENUE REQUIREMENTS:</t>
  </si>
  <si>
    <t xml:space="preserve">          TEMPLATE BELOW TO MAINTAIN HISTORY OF TRUED-UP ARRS OVER THE </t>
  </si>
  <si>
    <t>Average</t>
  </si>
  <si>
    <t>Incentive Rev.</t>
  </si>
  <si>
    <t>BPU Rev Req't True-up</t>
  </si>
  <si>
    <r>
      <t xml:space="preserve">** </t>
    </r>
    <r>
      <rPr>
        <sz val="10"/>
        <rFont val="Arial"/>
        <family val="2"/>
      </rPr>
      <t xml:space="preserve"> This is the total amount that needs to be reported to SPP for billing to all regions. </t>
    </r>
  </si>
  <si>
    <t xml:space="preserve">Average </t>
  </si>
  <si>
    <t>BPU Rev. Req't.From Prior Year Template</t>
  </si>
  <si>
    <r>
      <t xml:space="preserve">   Return   (from </t>
    </r>
    <r>
      <rPr>
        <sz val="10"/>
        <rFont val="MS Serif"/>
        <family val="1"/>
      </rPr>
      <t>I</t>
    </r>
    <r>
      <rPr>
        <sz val="10"/>
        <rFont val="Arial"/>
        <family val="2"/>
      </rPr>
      <t>.B. above)</t>
    </r>
  </si>
  <si>
    <r>
      <t xml:space="preserve">Requirement </t>
    </r>
    <r>
      <rPr>
        <b/>
        <sz val="10"/>
        <color indexed="10"/>
        <rFont val="Arial"/>
        <family val="2"/>
      </rPr>
      <t>##</t>
    </r>
  </si>
  <si>
    <r>
      <t>with Incentives</t>
    </r>
    <r>
      <rPr>
        <b/>
        <sz val="10"/>
        <color indexed="10"/>
        <rFont val="Arial"/>
        <family val="2"/>
      </rPr>
      <t xml:space="preserve"> **</t>
    </r>
  </si>
  <si>
    <r>
      <t>##</t>
    </r>
    <r>
      <rPr>
        <b/>
        <sz val="10"/>
        <rFont val="Arial"/>
        <family val="2"/>
      </rPr>
      <t xml:space="preserve"> This is the calculation of  additional incentive revenue on projects deemed by the FERC to be eligible for an incentive return.  This</t>
    </r>
  </si>
  <si>
    <r>
      <t xml:space="preserve">##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</si>
  <si>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>inset project name here</t>
  </si>
  <si>
    <t>Long Term Debt %</t>
  </si>
  <si>
    <t>Long Term Debt Cost</t>
  </si>
  <si>
    <t>Preferred Stock %</t>
  </si>
  <si>
    <t>Preferred Stock Cost</t>
  </si>
  <si>
    <t>Common Stock %</t>
  </si>
  <si>
    <t>EXPORT DATA to Template PSO WS F</t>
  </si>
  <si>
    <t>STEP 2</t>
  </si>
  <si>
    <t>STEP 3</t>
  </si>
  <si>
    <t>PSO</t>
  </si>
  <si>
    <t xml:space="preserve">       Apportionment Factor to Texas (Worksheet K, ln 12)</t>
  </si>
  <si>
    <t>Black text is not used in this workbook.</t>
  </si>
  <si>
    <t>Blue text is used by this workbbok and driven by non WS-F Formula Rate template worksheets</t>
  </si>
  <si>
    <t>SEE INPUT/OUTPUT ranges to the right  ----&gt;</t>
  </si>
  <si>
    <t>SEE INPUT/OUTPUT ranges to the right  ------&gt;</t>
  </si>
  <si>
    <t xml:space="preserve">AEP West SPP Member Companies </t>
  </si>
  <si>
    <t>PUBLIC SERVICE COMPANY OF OKLAHOMA</t>
  </si>
  <si>
    <t>See INPUT/OUTPUT ranges below.</t>
  </si>
  <si>
    <t>STEP 1</t>
  </si>
  <si>
    <t>Is done first in the main Formula Rate template  Worksheet F.</t>
  </si>
  <si>
    <t>STEP 4</t>
  </si>
  <si>
    <t>Is done last in the main Formula Rate template  Worksheet F.</t>
  </si>
  <si>
    <t>Copy to main FR Template</t>
  </si>
  <si>
    <t>Project Description</t>
  </si>
  <si>
    <t>Is done first in the main Formula Rate template  Worksheet G.</t>
  </si>
  <si>
    <t>Is done last in the main Formula Rate template  Worksheet G.</t>
  </si>
  <si>
    <t>EXPORT DATA to main FR Template PSO WS G</t>
  </si>
  <si>
    <t>Blue text below is used by this workbbok and comes from main Formula Rate template WS-G sheet.</t>
  </si>
  <si>
    <t>As Projected in Prior Year WS F   Rev Require</t>
  </si>
  <si>
    <t>As Projected in Prior Year WS F    W Incentives</t>
  </si>
  <si>
    <t>Actual after True-up Rev Require</t>
  </si>
  <si>
    <t>Actual after True-up  W Incentives</t>
  </si>
  <si>
    <r>
      <t>Worksheet F</t>
    </r>
    <r>
      <rPr>
        <sz val="14"/>
        <rFont val="Arial"/>
        <family val="2"/>
      </rPr>
      <t xml:space="preserve"> - Calculation of PROJECTED Annual Revenue Requirement for BPU and Special-billed Projects</t>
    </r>
  </si>
  <si>
    <r>
      <t>Worksheet G</t>
    </r>
    <r>
      <rPr>
        <sz val="14"/>
        <rFont val="Arial"/>
        <family val="2"/>
      </rPr>
      <t xml:space="preserve"> - Calculation of TRUED-UP Annual Revenue Requirement for BPU and Special-billed Projects</t>
    </r>
  </si>
  <si>
    <t>Worksheet F --- DATA INPUT (Paste.Values) from TEMPLATE PSO WS F</t>
  </si>
  <si>
    <t>&lt;----Worksheet data is for</t>
  </si>
  <si>
    <t>Worksheet F</t>
  </si>
  <si>
    <t>Worksheet G</t>
  </si>
  <si>
    <r>
      <t>Worksheet G  --  PUBLIC SERVICE COMPANY OF OKLAHOMA  --  Calculation of "</t>
    </r>
    <r>
      <rPr>
        <b/>
        <u/>
        <sz val="16"/>
        <rFont val="Arial"/>
        <family val="2"/>
      </rPr>
      <t>Trued-Up</t>
    </r>
    <r>
      <rPr>
        <b/>
        <sz val="16"/>
        <rFont val="Arial"/>
        <family val="2"/>
      </rPr>
      <t>" ARR for SPP Base Plan Upgrade Projects</t>
    </r>
  </si>
  <si>
    <r>
      <t>Worksheet F  --  PUBLIC SERVICE COMPANY OF OKLAHOMA  --  Calculation of "</t>
    </r>
    <r>
      <rPr>
        <b/>
        <u/>
        <sz val="16"/>
        <rFont val="Arial"/>
        <family val="2"/>
      </rPr>
      <t>Projected</t>
    </r>
    <r>
      <rPr>
        <b/>
        <sz val="16"/>
        <rFont val="Arial"/>
        <family val="2"/>
      </rPr>
      <t>" ARR for SPP Base Plan Upgrade Projects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</si>
  <si>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</si>
  <si>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</si>
  <si>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 xml:space="preserve">(Worksheet F)    </t>
  </si>
  <si>
    <t xml:space="preserve">(Worksheet G)    </t>
  </si>
  <si>
    <t>basis points</t>
  </si>
  <si>
    <t>w/Incentives</t>
  </si>
  <si>
    <t xml:space="preserve">Prior Year Projected  (WS-F)  </t>
  </si>
  <si>
    <t xml:space="preserve">Prior Year True-Up  (WS-G)  </t>
  </si>
  <si>
    <t xml:space="preserve">True-Up Adjustment  </t>
  </si>
  <si>
    <t>AEP Transmission Formula Rate Template</t>
  </si>
  <si>
    <t xml:space="preserve">AEP Schedule 11 Revenue Requirement Including True-Up of Prior Collections </t>
  </si>
  <si>
    <t>(A)</t>
  </si>
  <si>
    <t>(B)</t>
  </si>
  <si>
    <t>(C )</t>
  </si>
  <si>
    <t>(D)</t>
  </si>
  <si>
    <t>(E)</t>
  </si>
  <si>
    <t>(F)</t>
  </si>
  <si>
    <t>(H)</t>
  </si>
  <si>
    <t>(I)</t>
  </si>
  <si>
    <t>(M)</t>
  </si>
  <si>
    <t>Base ARR</t>
  </si>
  <si>
    <t>Owner</t>
  </si>
  <si>
    <t>Year in Service</t>
  </si>
  <si>
    <t>Incentive</t>
  </si>
  <si>
    <t>Total</t>
  </si>
  <si>
    <t>True-up</t>
  </si>
  <si>
    <t>As Billed</t>
  </si>
  <si>
    <t>Change</t>
  </si>
  <si>
    <t>PSO Total</t>
  </si>
  <si>
    <t>P.001</t>
  </si>
  <si>
    <t>Sheet Name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</si>
  <si>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</si>
  <si>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</si>
  <si>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</si>
  <si>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</si>
  <si>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</si>
  <si>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</si>
  <si>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</si>
  <si>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</si>
  <si>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Indirect References</t>
  </si>
  <si>
    <r>
      <t xml:space="preserve">Calculation of Schedule </t>
    </r>
    <r>
      <rPr>
        <sz val="12"/>
        <rFont val="Arial"/>
        <family val="2"/>
      </rPr>
      <t>11 Revenue Requirements For AEP Transmission Projects</t>
    </r>
  </si>
  <si>
    <r>
      <t xml:space="preserve">   DO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delete this row or the formulas above will not work.</t>
    </r>
  </si>
  <si>
    <t>from WS-F &amp; G</t>
  </si>
  <si>
    <t>Do NOT delete.</t>
  </si>
  <si>
    <r>
      <t xml:space="preserve">Base ARR
</t>
    </r>
    <r>
      <rPr>
        <sz val="10"/>
        <rFont val="Arial"/>
        <family val="2"/>
      </rPr>
      <t>(WS-F)</t>
    </r>
  </si>
  <si>
    <t>Incentive ARR</t>
  </si>
  <si>
    <t>(J)</t>
  </si>
  <si>
    <t>(L)</t>
  </si>
  <si>
    <t>(O)</t>
  </si>
  <si>
    <t>Total Adjustments before Interest</t>
  </si>
  <si>
    <t>the column above</t>
  </si>
  <si>
    <t>is used to feed interest</t>
  </si>
  <si>
    <t>calculation engine and its</t>
  </si>
  <si>
    <t>output is put into the interest</t>
  </si>
  <si>
    <t>PROJECTED Rev. Req't From Prior Year Template</t>
  </si>
  <si>
    <t>Catoosa 138 kV Device (Cap. Bank)</t>
  </si>
  <si>
    <t>Cache-Snyder to Altus Jct. 138 kV line (w/2 ring bus stations)</t>
  </si>
  <si>
    <t>WFEC New 138 kV Ties: Sayre to Erick (WFEC) Line &amp; Atoka and Tupelo station work</t>
  </si>
  <si>
    <t>Riverside-Glenpool (81-523) Reconductor</t>
  </si>
  <si>
    <t>Craig Jct. to Broken Bow Dam 138 Rebuild (7.7mi)</t>
  </si>
  <si>
    <t>TRUE-UP Rev. Req't.From Prior Year Template</t>
  </si>
  <si>
    <t xml:space="preserve"> Worksheet G</t>
  </si>
  <si>
    <t>Elk City - Elk City 69 kV line (CT Upgrades)*</t>
  </si>
  <si>
    <t>Weleetka &amp; Okmulgee Wavetrap replacement 81-805*</t>
  </si>
  <si>
    <t>Tulsa Southeast Upgrade (repl switches)*</t>
  </si>
  <si>
    <t>*&lt;$100K investment</t>
  </si>
  <si>
    <t xml:space="preserve">∑ Prior Year True-Up  (WS-G)  </t>
  </si>
  <si>
    <t xml:space="preserve">∑ Prior Year Projected  (WS-F)  </t>
  </si>
  <si>
    <r>
      <t xml:space="preserve">Total Adjustments
</t>
    </r>
    <r>
      <rPr>
        <sz val="8"/>
        <rFont val="Arial"/>
        <family val="2"/>
      </rPr>
      <t>(True-Up, Billing, &amp; Interest)</t>
    </r>
  </si>
  <si>
    <t>TP2009011</t>
  </si>
  <si>
    <t>P.010</t>
  </si>
  <si>
    <t>*</t>
  </si>
  <si>
    <t>column to left (Q).</t>
  </si>
  <si>
    <t>Investment (EOY)</t>
  </si>
  <si>
    <t>Worksheet G ---- DATA INPUT (Paste.Values) from main FR TEMPLATE PSO WS G</t>
  </si>
  <si>
    <t>TP2008079-PSO</t>
  </si>
  <si>
    <t>Bartlesville SE to Coffeyville T Rebuild</t>
  </si>
  <si>
    <t>P.011</t>
  </si>
  <si>
    <t xml:space="preserve">   Determine R  (cost of long term debt, cost of preferred stock and percent is from Projected TCOS, lns 147 through 149)</t>
  </si>
  <si>
    <t xml:space="preserve">   Rate Base  (True-Up TCOS, ln 63)</t>
  </si>
  <si>
    <t xml:space="preserve">   Net Transmission Plant  (True-Up TCOS, ln 39)</t>
  </si>
  <si>
    <t xml:space="preserve">   FCR less Depreciation  (True-Up TCOS, ln 12)</t>
  </si>
  <si>
    <t xml:space="preserve">   Determine R  (cost of long term debt, cost of preferred stock and percent is from True-Up TCOS, lns 134 through 136)</t>
  </si>
  <si>
    <t>TP2009095-PSO</t>
  </si>
  <si>
    <t>Canadian River - McAlester City 138 kV Line Conversion</t>
  </si>
  <si>
    <t>P.012</t>
  </si>
  <si>
    <t>TP2008013</t>
  </si>
  <si>
    <t>P.013</t>
  </si>
  <si>
    <t>TP2009092</t>
  </si>
  <si>
    <t>Ashdown West - Craig Junction</t>
  </si>
  <si>
    <t>P.014</t>
  </si>
  <si>
    <t>NOTE:</t>
  </si>
  <si>
    <t>To INSERT a new project line item (row)</t>
  </si>
  <si>
    <t>1.   Insert blank row(s) for new project(s) between TOTAL row and existing last project row.</t>
  </si>
  <si>
    <t>2.  Copy entire contents of last project Row, then Paste into new blank row(s), again….leave 1 blank row to maintain summing formulas.</t>
  </si>
  <si>
    <t>0a.  Always maintain a blank row between TOTAL and last project (this maintains summing formulas in Totalization row.</t>
  </si>
  <si>
    <t>0b.   Always add and fill out new P.0xx Project Sheet(s) before inserting rows on this summary sheet.</t>
  </si>
  <si>
    <t>3.  In the SheetName column in this sheet…change the P.0xx type number(s) to match the corresponding newly added P.0xx sheets.</t>
  </si>
  <si>
    <t>WFEC DA Adjustment</t>
  </si>
  <si>
    <t>TP2009093</t>
  </si>
  <si>
    <t>Locust Grove to Lone Star 115 kV Rebuild 2.1 miles</t>
  </si>
  <si>
    <t>TP2011093</t>
  </si>
  <si>
    <t>Cornville Station Conversion</t>
  </si>
  <si>
    <t>P.015</t>
  </si>
  <si>
    <t>P.016</t>
  </si>
  <si>
    <t>Wavetrap Clinton City-Foss Tap 69kV Ckt 1*</t>
  </si>
  <si>
    <t>CoffeyvilleT to Dearing 138 kv Rebuild - 1.1 mi*</t>
  </si>
  <si>
    <t>Note:  Project's whose investment cost do NOT meet SPP's $100,000 threshold for 'regional' socialization are marked with an asterik "*" as SPP will only collect those ATRRs from the zone.</t>
  </si>
  <si>
    <t xml:space="preserve">  SPP Project ID = 649</t>
  </si>
  <si>
    <t xml:space="preserve">  SPP Project ID = 30346</t>
  </si>
  <si>
    <t>NOTE:  Original NTC indicates only 94% to be Base Plan.</t>
  </si>
  <si>
    <t>&lt;&lt; 2014-present ARR values based on 94% actual cost.  Yrs 2011-13 ARR values based on 100% actual cost (SPP scaled ARR data) &gt;&gt;</t>
  </si>
  <si>
    <t>TP1300201</t>
  </si>
  <si>
    <t>Grady Customer Connection</t>
  </si>
  <si>
    <t>Darlington-Red Rock 138 kV line</t>
  </si>
  <si>
    <t>P.017</t>
  </si>
  <si>
    <t>P.018</t>
  </si>
  <si>
    <t>***Sch. 11 recovery commenced in 2015 rate year***</t>
  </si>
  <si>
    <t xml:space="preserve"> &lt;--- this value goes to sched 11 interest support file - line 17</t>
  </si>
  <si>
    <t>2013</t>
  </si>
  <si>
    <t>2014</t>
  </si>
  <si>
    <t>TP2012112</t>
  </si>
  <si>
    <t xml:space="preserve">***Sch. 11 recovery commenced in the 2015 rate year.  Beg Bal = to depreciated balance as of 1/1/15. *** </t>
  </si>
  <si>
    <t>P.019</t>
  </si>
  <si>
    <t>P.020</t>
  </si>
  <si>
    <t>P.021</t>
  </si>
  <si>
    <t>P.022</t>
  </si>
  <si>
    <t>Darlington-Roman Nose 138 kV</t>
  </si>
  <si>
    <t>Northeastern Station 138 kV Terminal Upgrades</t>
  </si>
  <si>
    <t>Valliant-NW Texarkana 345 kV</t>
  </si>
  <si>
    <t>Sayre 138 kV Capacitor Bank Addition</t>
  </si>
  <si>
    <t xml:space="preserve">   Excess DFIT Adjustment  (TCOS, ln 106)</t>
  </si>
  <si>
    <t xml:space="preserve">   Tax Effect of Permanent Differences Adj  (TCOS, ln 107)</t>
  </si>
  <si>
    <t>&lt;==From Input on Worksheet A</t>
  </si>
  <si>
    <t>Current Projected Year ARR</t>
  </si>
  <si>
    <t>Current Projected Year ARR w/ Incentive</t>
  </si>
  <si>
    <t>Beg/Ending 
Average
Revenue</t>
  </si>
  <si>
    <t>Beg/Ending
Average
Revenue Req't.</t>
  </si>
  <si>
    <t>Apportionment Factor to Texas (ln12)</t>
  </si>
  <si>
    <t>Apportioned Texas Revenues</t>
  </si>
  <si>
    <t>Taxable Percentage of Revenue (22%)</t>
  </si>
  <si>
    <t>Taxable, Apportioned Margin</t>
  </si>
  <si>
    <t>Texas Gross Margin Tax Rate (1%)</t>
  </si>
  <si>
    <t>Texas Gross Margin Tax Expense</t>
  </si>
  <si>
    <t xml:space="preserve">Gross-up Required for Texas Gross Margin Expense </t>
  </si>
  <si>
    <t>Elk City 138 KV Move Load</t>
  </si>
  <si>
    <t>Fort Townson-Valliant Line Rebuild</t>
  </si>
  <si>
    <t>Duncan-Comanche Tap 69 KV Rebuild and Duncan station upgrades</t>
  </si>
  <si>
    <t>P.023</t>
  </si>
  <si>
    <t>P.024</t>
  </si>
  <si>
    <t>P.025</t>
  </si>
  <si>
    <t xml:space="preserve">  SPP Project ID = 936</t>
  </si>
  <si>
    <t xml:space="preserve">  SPP Project ID = 30997</t>
  </si>
  <si>
    <t xml:space="preserve">  SPP Project ID = 30619</t>
  </si>
  <si>
    <t xml:space="preserve">  SPP Project ID = 31003</t>
  </si>
  <si>
    <t xml:space="preserve">  SPP Project ID = 31005</t>
  </si>
  <si>
    <t xml:space="preserve">  SPP Project ID = 31058</t>
  </si>
  <si>
    <t xml:space="preserve">  SPP Project ID = 31009 &amp; 31039</t>
  </si>
  <si>
    <t xml:space="preserve">  SPP Project ID = 220</t>
  </si>
  <si>
    <t xml:space="preserve">  SPP Project ID = 230</t>
  </si>
  <si>
    <t xml:space="preserve">  SPP Project ID = 112 &amp; 177</t>
  </si>
  <si>
    <t xml:space="preserve">  SPP Project ID = 106 &amp; 119</t>
  </si>
  <si>
    <t xml:space="preserve">  SPP Project ID = 30001</t>
  </si>
  <si>
    <t xml:space="preserve">  SPP Project ID = 110 &amp; 657</t>
  </si>
  <si>
    <t xml:space="preserve">  SPP Project ID = 118</t>
  </si>
  <si>
    <t xml:space="preserve">  SPP Project ID = 3 &amp; 4</t>
  </si>
  <si>
    <t xml:space="preserve">  SPP Project ID = 46</t>
  </si>
  <si>
    <t xml:space="preserve">  SPP Project ID = 289</t>
  </si>
  <si>
    <t xml:space="preserve">  SPP Project ID = 446, 454, 902 &amp; 911</t>
  </si>
  <si>
    <t xml:space="preserve">  SPP Project ID = 767</t>
  </si>
  <si>
    <t xml:space="preserve">  SPP Project ID = 295</t>
  </si>
  <si>
    <t xml:space="preserve">  SPP Project ID = 770</t>
  </si>
  <si>
    <t>Projected Year</t>
  </si>
  <si>
    <t xml:space="preserve">   ROE w/o incentives  (TCOS, ln 141)</t>
  </si>
  <si>
    <t xml:space="preserve">   Rate Base  (TCOS, ln 62)</t>
  </si>
  <si>
    <t xml:space="preserve">   Tax Rate  (TCOS, ln 97)</t>
  </si>
  <si>
    <t xml:space="preserve">   ITC Adjustment  (TCOS, ln 106)</t>
  </si>
  <si>
    <t xml:space="preserve">   Excess DFIT Adjustment  (TCOS, ln 107)</t>
  </si>
  <si>
    <t xml:space="preserve">   Tax Effect of Permanent and Flow Through Differences  (TCOS, ln 108)</t>
  </si>
  <si>
    <t xml:space="preserve">   Net Revenue Requirement  (TCOS, ln 115)</t>
  </si>
  <si>
    <t xml:space="preserve">   Return  (TCOS, ln 110)</t>
  </si>
  <si>
    <t xml:space="preserve">   Income Taxes  (TCOS, ln 109)</t>
  </si>
  <si>
    <t xml:space="preserve">  Gross Margin Taxes  (TCOS, ln 114)</t>
  </si>
  <si>
    <t xml:space="preserve">   Less: Depreciation  (TCOS, ln 84)</t>
  </si>
  <si>
    <t xml:space="preserve">   Net Transmission Plant  (TCOS, ln 37)</t>
  </si>
  <si>
    <t xml:space="preserve">   FCR less Depreciation  (TCOS, ln 10)</t>
  </si>
  <si>
    <t>Transmission Plant @ Beginning of Period (Worksheet A ln 9 col. ((D))</t>
  </si>
  <si>
    <t>Transmission Plant @ End of Period (Worksheet A ln 9 col. ((C))</t>
  </si>
  <si>
    <t xml:space="preserve">Transmission Plant Average Balance for 2018 </t>
  </si>
  <si>
    <t>Annual Depreciation Expense  (TCOS, ln 84)</t>
  </si>
  <si>
    <t>Projected ADJUSTED ARR from Prior Update</t>
  </si>
  <si>
    <r>
      <t xml:space="preserve">TRUE-UP Adjustment </t>
    </r>
    <r>
      <rPr>
        <sz val="10"/>
        <rFont val="Arial"/>
        <family val="2"/>
      </rPr>
      <t>(WS-G)</t>
    </r>
  </si>
  <si>
    <r>
      <t xml:space="preserve">As Billed
by SPP
</t>
    </r>
    <r>
      <rPr>
        <sz val="10"/>
        <rFont val="Arial"/>
        <family val="2"/>
      </rPr>
      <t>(for Prior Yr
T-Service)</t>
    </r>
  </si>
  <si>
    <t>Interest</t>
  </si>
  <si>
    <t>COLLECTION Adjustment</t>
  </si>
  <si>
    <t>Tulsa Southeast - E. 61st St 138 kV Rebuild</t>
  </si>
  <si>
    <t xml:space="preserve">  SPP Project ID = 41202</t>
  </si>
  <si>
    <t xml:space="preserve">  SPP Project ID = 41233</t>
  </si>
  <si>
    <t>Broken Arrow North-Lynn Lane East 138 kV</t>
  </si>
  <si>
    <t>P.026</t>
  </si>
  <si>
    <t>P.027</t>
  </si>
  <si>
    <t>True-Up ARR CY 2017 From Worksheet G  (includes adjustment for SPP Collections)</t>
  </si>
  <si>
    <t xml:space="preserve">  SPP Project ID = 30748</t>
  </si>
  <si>
    <t xml:space="preserve">  SPP Project ID = 30746</t>
  </si>
  <si>
    <t xml:space="preserve">   ROE w/o incentives  (True-Up TCOS, ln 135)</t>
  </si>
  <si>
    <t xml:space="preserve">   Tax Rate  (True-Up TCOS, ln 105)</t>
  </si>
  <si>
    <t xml:space="preserve">   ITC Adjustment  (True-Up TCOS, ln 102)</t>
  </si>
  <si>
    <t xml:space="preserve">   Net Revenue Requirement  (True-Up TCOS, ln 109)</t>
  </si>
  <si>
    <t xml:space="preserve">   Return  (True-Up TCOS, ln 104)</t>
  </si>
  <si>
    <t xml:space="preserve">   Income Taxes  (True-Up TCOS, ln 103)</t>
  </si>
  <si>
    <t xml:space="preserve">  Gross Margin Taxes  (True-Up TCOS, ln 108)</t>
  </si>
  <si>
    <t xml:space="preserve">   Less: Depreciation  (True-Up TCOS, ln 82)</t>
  </si>
  <si>
    <t xml:space="preserve">Transmission Plant Average Balance for 2017 </t>
  </si>
  <si>
    <t>Annual Depreciation Expense  (True-Up TCOS, ln 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</si>
</sst>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0.0000"/>
    <numFmt numFmtId="168" formatCode="&quot;$&quot;#,##0"/>
    <numFmt numFmtId="169" formatCode="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000_);_(* \(#,##0.0000\);_(* &quot;-&quot;_);_(@_)"/>
    <numFmt numFmtId="174" formatCode="_(* #,##0.00000_);_(* \(#,##0.00000\);_(* &quot;-&quot;??_);_(@_)"/>
    <numFmt numFmtId="175" formatCode="_(&quot;$&quot;* #,##0.0000000_);_(&quot;$&quot;* \(#,##0.0000000\);_(&quot;$&quot;* &quot;-&quot;??_);_(@_)"/>
    <numFmt numFmtId="176" formatCode="_(* #,##0.0000000000_);_(* \(#,##0.0000000000\);_(* &quot;-&quot;??_);_(@_)"/>
    <numFmt numFmtId="177" formatCode="_(* #,##0.000000_);_(* \(#,##0.000000\);_(* &quot;-&quot;??_);_(@_)"/>
    <numFmt numFmtId="178" formatCode="0.0000%"/>
  </numFmts>
  <fonts count="88">
    <font>
      <sz val="10"/>
      <name val="Arial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MS Serif"/>
      <family val="1"/>
    </font>
    <font>
      <u/>
      <sz val="10"/>
      <name val="Arial"/>
      <family val="2"/>
    </font>
    <font>
      <sz val="10"/>
      <name val="MS Serif"/>
      <family val="1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7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i/>
      <sz val="8"/>
      <color indexed="81"/>
      <name val="Tahom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33CC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7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69" fontId="5" fillId="0" borderId="0" applyFill="0"/>
    <xf numFmtId="169" fontId="5" fillId="0" borderId="0">
      <alignment horizontal="center"/>
    </xf>
    <xf numFmtId="0" fontId="5" fillId="0" borderId="0" applyFill="0">
      <alignment horizontal="center"/>
    </xf>
    <xf numFmtId="169" fontId="6" fillId="0" borderId="1" applyFill="0"/>
    <xf numFmtId="0" fontId="7" fillId="0" borderId="0" applyFont="0" applyAlignment="0"/>
    <xf numFmtId="0" fontId="8" fillId="0" borderId="0" applyFill="0">
      <alignment vertical="top"/>
    </xf>
    <xf numFmtId="0" fontId="6" fillId="0" borderId="0" applyFill="0">
      <alignment horizontal="left" vertical="top"/>
    </xf>
    <xf numFmtId="169" fontId="9" fillId="0" borderId="2" applyFill="0"/>
    <xf numFmtId="0" fontId="7" fillId="0" borderId="0" applyNumberFormat="0" applyFont="0" applyAlignment="0"/>
    <xf numFmtId="0" fontId="8" fillId="0" borderId="0" applyFill="0">
      <alignment wrapText="1"/>
    </xf>
    <xf numFmtId="0" fontId="6" fillId="0" borderId="0" applyFill="0">
      <alignment horizontal="left" vertical="top" wrapText="1"/>
    </xf>
    <xf numFmtId="169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9" fontId="7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9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9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9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0" fontId="22" fillId="20" borderId="3" applyNumberFormat="0" applyAlignment="0" applyProtection="0"/>
    <xf numFmtId="0" fontId="23" fillId="21" borderId="4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/>
    <xf numFmtId="0" fontId="29" fillId="0" borderId="0"/>
    <xf numFmtId="0" fontId="30" fillId="7" borderId="3" applyNumberFormat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3" fontId="7" fillId="0" borderId="0"/>
    <xf numFmtId="0" fontId="81" fillId="0" borderId="0"/>
    <xf numFmtId="169" fontId="33" fillId="0" borderId="0" applyProtection="0"/>
    <xf numFmtId="0" fontId="33" fillId="23" borderId="8" applyNumberFormat="0" applyFont="0" applyAlignment="0" applyProtection="0"/>
    <xf numFmtId="0" fontId="34" fillId="20" borderId="9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0" fontId="36" fillId="0" borderId="6">
      <alignment horizontal="center"/>
    </xf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3" fontId="7" fillId="0" borderId="0">
      <alignment horizontal="right" vertical="top"/>
    </xf>
    <xf numFmtId="41" fontId="14" fillId="25" borderId="10" applyFill="0"/>
    <xf numFmtId="0" fontId="37" fillId="0" borderId="0">
      <alignment horizontal="left" indent="7"/>
    </xf>
    <xf numFmtId="41" fontId="14" fillId="0" borderId="10" applyFill="0">
      <alignment horizontal="left" indent="2"/>
    </xf>
    <xf numFmtId="169" fontId="38" fillId="0" borderId="11" applyFill="0">
      <alignment horizontal="right"/>
    </xf>
    <xf numFmtId="0" fontId="39" fillId="0" borderId="12" applyNumberFormat="0" applyFont="0" applyBorder="0">
      <alignment horizontal="right"/>
    </xf>
    <xf numFmtId="0" fontId="40" fillId="0" borderId="0" applyFill="0"/>
    <xf numFmtId="0" fontId="9" fillId="0" borderId="0" applyFill="0"/>
    <xf numFmtId="4" fontId="38" fillId="0" borderId="11" applyFill="0"/>
    <xf numFmtId="0" fontId="7" fillId="0" borderId="0" applyNumberFormat="0" applyFont="0" applyBorder="0" applyAlignment="0"/>
    <xf numFmtId="0" fontId="12" fillId="0" borderId="0" applyFill="0">
      <alignment horizontal="left" indent="1"/>
    </xf>
    <xf numFmtId="0" fontId="41" fillId="0" borderId="0" applyFill="0">
      <alignment horizontal="left" indent="1"/>
    </xf>
    <xf numFmtId="4" fontId="15" fillId="0" borderId="0" applyFill="0"/>
    <xf numFmtId="0" fontId="7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7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15" fillId="0" borderId="0" applyFill="0"/>
    <xf numFmtId="0" fontId="7" fillId="0" borderId="0" applyNumberFormat="0" applyFont="0" applyBorder="0" applyAlignment="0"/>
    <xf numFmtId="0" fontId="16" fillId="0" borderId="0">
      <alignment horizontal="left" indent="4"/>
    </xf>
    <xf numFmtId="0" fontId="7" fillId="0" borderId="0" applyFill="0">
      <alignment horizontal="left" indent="4"/>
    </xf>
    <xf numFmtId="4" fontId="17" fillId="0" borderId="0" applyFill="0"/>
    <xf numFmtId="0" fontId="7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7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</cellStyleXfs>
  <cellXfs count="51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70" fontId="7" fillId="0" borderId="0" xfId="59" applyNumberFormat="1" applyFont="1"/>
    <xf numFmtId="0" fontId="7" fillId="0" borderId="0" xfId="0" applyFont="1" applyBorder="1"/>
    <xf numFmtId="0" fontId="47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70" fontId="1" fillId="0" borderId="0" xfId="59" applyNumberFormat="1"/>
    <xf numFmtId="0" fontId="7" fillId="0" borderId="0" xfId="117" applyNumberFormat="1" applyFont="1" applyBorder="1" applyAlignment="1" applyProtection="1">
      <protection locked="0"/>
    </xf>
    <xf numFmtId="3" fontId="7" fillId="0" borderId="0" xfId="117" applyNumberFormat="1" applyFont="1" applyAlignment="1" applyProtection="1">
      <protection locked="0"/>
    </xf>
    <xf numFmtId="10" fontId="7" fillId="0" borderId="0" xfId="117" applyNumberFormat="1" applyFont="1" applyAlignment="1" applyProtection="1">
      <protection locked="0"/>
    </xf>
    <xf numFmtId="166" fontId="7" fillId="0" borderId="0" xfId="117" applyNumberFormat="1" applyFont="1" applyAlignment="1" applyProtection="1">
      <protection locked="0"/>
    </xf>
    <xf numFmtId="43" fontId="7" fillId="0" borderId="0" xfId="59" applyFont="1" applyAlignment="1" applyProtection="1">
      <protection locked="0"/>
    </xf>
    <xf numFmtId="169" fontId="7" fillId="0" borderId="0" xfId="117" applyFont="1" applyAlignment="1" applyProtection="1">
      <protection locked="0"/>
    </xf>
    <xf numFmtId="169" fontId="7" fillId="0" borderId="0" xfId="117" applyFont="1" applyBorder="1" applyAlignment="1" applyProtection="1">
      <protection locked="0"/>
    </xf>
    <xf numFmtId="0" fontId="7" fillId="0" borderId="0" xfId="0" applyFont="1" applyFill="1"/>
    <xf numFmtId="0" fontId="7" fillId="26" borderId="0" xfId="59" applyNumberFormat="1" applyFont="1" applyFill="1" applyAlignment="1" applyProtection="1">
      <protection locked="0"/>
    </xf>
    <xf numFmtId="10" fontId="7" fillId="0" borderId="0" xfId="117" applyNumberFormat="1" applyFont="1" applyFill="1" applyAlignment="1" applyProtection="1">
      <alignment horizontal="right"/>
      <protection locked="0"/>
    </xf>
    <xf numFmtId="3" fontId="39" fillId="0" borderId="0" xfId="117" applyNumberFormat="1" applyFont="1" applyAlignment="1" applyProtection="1">
      <protection locked="0"/>
    </xf>
    <xf numFmtId="0" fontId="7" fillId="0" borderId="0" xfId="0" applyFont="1" applyFill="1" applyBorder="1"/>
    <xf numFmtId="3" fontId="48" fillId="0" borderId="0" xfId="117" applyNumberFormat="1" applyFont="1" applyAlignment="1" applyProtection="1">
      <alignment horizontal="center"/>
      <protection locked="0"/>
    </xf>
    <xf numFmtId="10" fontId="48" fillId="0" borderId="0" xfId="117" applyNumberFormat="1" applyFont="1" applyFill="1" applyAlignment="1" applyProtection="1">
      <alignment horizontal="center"/>
      <protection locked="0"/>
    </xf>
    <xf numFmtId="0" fontId="7" fillId="0" borderId="0" xfId="117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Alignment="1">
      <alignment horizontal="center"/>
    </xf>
    <xf numFmtId="166" fontId="7" fillId="0" borderId="0" xfId="117" applyNumberFormat="1" applyFont="1" applyAlignment="1" applyProtection="1">
      <alignment horizontal="center"/>
      <protection locked="0"/>
    </xf>
    <xf numFmtId="167" fontId="7" fillId="0" borderId="0" xfId="117" applyNumberFormat="1" applyFont="1" applyFill="1" applyAlignment="1" applyProtection="1">
      <protection locked="0"/>
    </xf>
    <xf numFmtId="165" fontId="7" fillId="0" borderId="0" xfId="117" applyNumberFormat="1" applyFont="1" applyAlignment="1" applyProtection="1">
      <alignment horizontal="center"/>
      <protection locked="0"/>
    </xf>
    <xf numFmtId="165" fontId="7" fillId="0" borderId="0" xfId="117" applyNumberFormat="1" applyFont="1" applyBorder="1" applyAlignment="1" applyProtection="1">
      <alignment horizontal="center"/>
      <protection locked="0"/>
    </xf>
    <xf numFmtId="169" fontId="7" fillId="0" borderId="13" xfId="117" applyFont="1" applyBorder="1" applyAlignment="1" applyProtection="1">
      <protection locked="0"/>
    </xf>
    <xf numFmtId="0" fontId="7" fillId="0" borderId="0" xfId="117" applyNumberFormat="1" applyFont="1" applyBorder="1" applyAlignment="1" applyProtection="1">
      <alignment horizontal="center"/>
      <protection locked="0"/>
    </xf>
    <xf numFmtId="3" fontId="7" fillId="0" borderId="14" xfId="117" applyNumberFormat="1" applyFont="1" applyBorder="1" applyAlignment="1" applyProtection="1">
      <protection locked="0"/>
    </xf>
    <xf numFmtId="0" fontId="7" fillId="0" borderId="0" xfId="117" applyNumberFormat="1" applyFont="1" applyAlignment="1" applyProtection="1">
      <alignment horizontal="center"/>
      <protection locked="0"/>
    </xf>
    <xf numFmtId="41" fontId="7" fillId="0" borderId="0" xfId="117" applyNumberFormat="1" applyFont="1" applyAlignment="1" applyProtection="1">
      <protection locked="0"/>
    </xf>
    <xf numFmtId="41" fontId="7" fillId="0" borderId="0" xfId="117" applyNumberFormat="1" applyFont="1" applyAlignment="1" applyProtection="1">
      <alignment horizontal="center"/>
      <protection locked="0"/>
    </xf>
    <xf numFmtId="41" fontId="7" fillId="0" borderId="0" xfId="117" applyNumberFormat="1" applyFont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7" fillId="0" borderId="0" xfId="117" applyNumberFormat="1" applyFont="1" applyBorder="1" applyAlignment="1" applyProtection="1">
      <alignment horizontal="right"/>
      <protection locked="0"/>
    </xf>
    <xf numFmtId="167" fontId="48" fillId="0" borderId="0" xfId="117" applyNumberFormat="1" applyFont="1" applyFill="1" applyAlignment="1" applyProtection="1">
      <protection locked="0"/>
    </xf>
    <xf numFmtId="165" fontId="15" fillId="0" borderId="15" xfId="117" applyNumberFormat="1" applyFont="1" applyBorder="1" applyAlignment="1" applyProtection="1">
      <alignment horizontal="center"/>
      <protection locked="0"/>
    </xf>
    <xf numFmtId="0" fontId="7" fillId="0" borderId="6" xfId="117" applyNumberFormat="1" applyFont="1" applyBorder="1" applyAlignment="1" applyProtection="1">
      <alignment horizontal="center"/>
      <protection locked="0"/>
    </xf>
    <xf numFmtId="170" fontId="7" fillId="0" borderId="6" xfId="117" applyNumberFormat="1" applyFont="1" applyBorder="1" applyAlignment="1" applyProtection="1">
      <alignment horizontal="center"/>
      <protection locked="0"/>
    </xf>
    <xf numFmtId="171" fontId="0" fillId="0" borderId="16" xfId="0" applyNumberFormat="1" applyBorder="1"/>
    <xf numFmtId="3" fontId="7" fillId="0" borderId="0" xfId="117" applyNumberFormat="1" applyFont="1" applyAlignment="1" applyProtection="1">
      <alignment horizontal="right"/>
      <protection locked="0"/>
    </xf>
    <xf numFmtId="10" fontId="7" fillId="0" borderId="0" xfId="117" applyNumberFormat="1" applyFont="1" applyFill="1" applyAlignment="1" applyProtection="1">
      <alignment horizontal="left"/>
      <protection locked="0"/>
    </xf>
    <xf numFmtId="41" fontId="7" fillId="0" borderId="0" xfId="117" applyNumberFormat="1" applyFont="1" applyBorder="1" applyAlignment="1" applyProtection="1">
      <protection locked="0"/>
    </xf>
    <xf numFmtId="0" fontId="39" fillId="0" borderId="0" xfId="0" applyFont="1"/>
    <xf numFmtId="41" fontId="7" fillId="0" borderId="0" xfId="117" applyNumberFormat="1" applyFont="1" applyFill="1" applyAlignment="1" applyProtection="1">
      <protection locked="0"/>
    </xf>
    <xf numFmtId="170" fontId="0" fillId="0" borderId="0" xfId="0" applyNumberFormat="1"/>
    <xf numFmtId="41" fontId="7" fillId="0" borderId="0" xfId="117" quotePrefix="1" applyNumberFormat="1" applyFont="1" applyBorder="1" applyAlignment="1" applyProtection="1">
      <protection locked="0"/>
    </xf>
    <xf numFmtId="41" fontId="7" fillId="0" borderId="0" xfId="117" applyNumberFormat="1" applyFont="1" applyFill="1" applyBorder="1" applyAlignment="1" applyProtection="1">
      <alignment horizontal="right"/>
      <protection locked="0"/>
    </xf>
    <xf numFmtId="172" fontId="7" fillId="0" borderId="11" xfId="117" applyNumberFormat="1" applyFont="1" applyBorder="1" applyAlignment="1" applyProtection="1">
      <protection locked="0"/>
    </xf>
    <xf numFmtId="164" fontId="7" fillId="0" borderId="0" xfId="117" applyNumberFormat="1" applyFont="1" applyFill="1" applyBorder="1" applyAlignment="1" applyProtection="1">
      <alignment horizontal="left"/>
      <protection locked="0"/>
    </xf>
    <xf numFmtId="164" fontId="7" fillId="0" borderId="0" xfId="117" applyNumberFormat="1" applyFont="1" applyBorder="1" applyAlignment="1" applyProtection="1">
      <alignment horizontal="left"/>
      <protection locked="0"/>
    </xf>
    <xf numFmtId="3" fontId="7" fillId="0" borderId="0" xfId="117" applyNumberFormat="1" applyFont="1" applyAlignment="1" applyProtection="1">
      <alignment vertical="center" wrapText="1"/>
      <protection locked="0"/>
    </xf>
    <xf numFmtId="41" fontId="7" fillId="0" borderId="0" xfId="117" applyNumberFormat="1" applyFont="1" applyBorder="1" applyAlignment="1" applyProtection="1">
      <alignment vertical="center"/>
      <protection locked="0"/>
    </xf>
    <xf numFmtId="41" fontId="7" fillId="0" borderId="0" xfId="117" applyNumberFormat="1" applyFont="1" applyBorder="1" applyAlignment="1" applyProtection="1">
      <alignment horizontal="center" vertical="center"/>
      <protection locked="0"/>
    </xf>
    <xf numFmtId="41" fontId="7" fillId="0" borderId="0" xfId="117" applyNumberFormat="1" applyFont="1" applyAlignment="1" applyProtection="1">
      <alignment horizontal="right"/>
      <protection locked="0"/>
    </xf>
    <xf numFmtId="10" fontId="7" fillId="0" borderId="0" xfId="0" applyNumberFormat="1" applyFont="1" applyBorder="1"/>
    <xf numFmtId="0" fontId="7" fillId="0" borderId="0" xfId="0" applyFont="1" applyFill="1" applyAlignment="1">
      <alignment horizontal="center"/>
    </xf>
    <xf numFmtId="41" fontId="7" fillId="0" borderId="0" xfId="0" applyNumberFormat="1" applyFont="1"/>
    <xf numFmtId="0" fontId="7" fillId="0" borderId="0" xfId="0" applyFont="1" applyFill="1" applyBorder="1" applyAlignment="1"/>
    <xf numFmtId="3" fontId="14" fillId="0" borderId="0" xfId="117" applyNumberFormat="1" applyFont="1" applyFill="1" applyBorder="1" applyAlignment="1" applyProtection="1">
      <protection locked="0"/>
    </xf>
    <xf numFmtId="41" fontId="7" fillId="0" borderId="11" xfId="117" applyNumberFormat="1" applyFont="1" applyFill="1" applyBorder="1" applyAlignment="1" applyProtection="1">
      <protection locked="0"/>
    </xf>
    <xf numFmtId="3" fontId="14" fillId="0" borderId="0" xfId="117" applyNumberFormat="1" applyFont="1" applyFill="1" applyBorder="1" applyAlignment="1" applyProtection="1">
      <alignment horizontal="center"/>
      <protection locked="0"/>
    </xf>
    <xf numFmtId="41" fontId="7" fillId="0" borderId="0" xfId="117" applyNumberFormat="1" applyFont="1" applyFill="1" applyBorder="1" applyAlignment="1" applyProtection="1">
      <protection locked="0"/>
    </xf>
    <xf numFmtId="41" fontId="14" fillId="0" borderId="0" xfId="117" applyNumberFormat="1" applyFont="1" applyFill="1" applyBorder="1" applyAlignment="1" applyProtection="1">
      <protection locked="0"/>
    </xf>
    <xf numFmtId="0" fontId="14" fillId="0" borderId="0" xfId="117" applyNumberFormat="1" applyFont="1" applyFill="1" applyBorder="1" applyAlignment="1" applyProtection="1">
      <protection locked="0"/>
    </xf>
    <xf numFmtId="0" fontId="6" fillId="0" borderId="0" xfId="0" applyFont="1" applyFill="1"/>
    <xf numFmtId="0" fontId="14" fillId="0" borderId="0" xfId="117" applyNumberFormat="1" applyFont="1" applyFill="1" applyBorder="1" applyProtection="1">
      <protection locked="0"/>
    </xf>
    <xf numFmtId="0" fontId="7" fillId="0" borderId="0" xfId="117" applyNumberFormat="1" applyFont="1" applyFill="1" applyBorder="1" applyAlignment="1" applyProtection="1">
      <protection locked="0"/>
    </xf>
    <xf numFmtId="3" fontId="7" fillId="0" borderId="0" xfId="117" applyNumberFormat="1" applyFont="1" applyFill="1" applyBorder="1" applyAlignment="1" applyProtection="1">
      <protection locked="0"/>
    </xf>
    <xf numFmtId="41" fontId="7" fillId="0" borderId="0" xfId="117" applyNumberFormat="1" applyFont="1" applyFill="1" applyBorder="1" applyAlignment="1" applyProtection="1">
      <alignment horizontal="center"/>
      <protection locked="0"/>
    </xf>
    <xf numFmtId="0" fontId="7" fillId="0" borderId="0" xfId="117" applyNumberFormat="1" applyFont="1" applyFill="1" applyBorder="1" applyProtection="1">
      <protection locked="0"/>
    </xf>
    <xf numFmtId="3" fontId="7" fillId="0" borderId="0" xfId="117" applyNumberFormat="1" applyFont="1" applyFill="1" applyBorder="1" applyAlignment="1" applyProtection="1">
      <alignment horizontal="center"/>
      <protection locked="0"/>
    </xf>
    <xf numFmtId="0" fontId="7" fillId="0" borderId="0" xfId="117" applyNumberFormat="1" applyFont="1" applyFill="1" applyBorder="1" applyAlignment="1" applyProtection="1">
      <alignment horizontal="center"/>
      <protection locked="0"/>
    </xf>
    <xf numFmtId="10" fontId="7" fillId="0" borderId="0" xfId="117" applyNumberFormat="1" applyFont="1" applyFill="1" applyBorder="1" applyAlignment="1" applyProtection="1">
      <protection locked="0"/>
    </xf>
    <xf numFmtId="167" fontId="7" fillId="0" borderId="0" xfId="117" applyNumberFormat="1" applyFont="1" applyFill="1" applyBorder="1" applyAlignment="1" applyProtection="1">
      <protection locked="0"/>
    </xf>
    <xf numFmtId="169" fontId="7" fillId="0" borderId="0" xfId="117" applyFont="1" applyFill="1" applyBorder="1" applyAlignment="1" applyProtection="1">
      <protection locked="0"/>
    </xf>
    <xf numFmtId="3" fontId="7" fillId="0" borderId="0" xfId="117" quotePrefix="1" applyNumberFormat="1" applyFont="1" applyFill="1" applyBorder="1" applyAlignment="1" applyProtection="1">
      <protection locked="0"/>
    </xf>
    <xf numFmtId="3" fontId="39" fillId="0" borderId="0" xfId="117" applyNumberFormat="1" applyFont="1" applyFill="1" applyBorder="1" applyAlignment="1" applyProtection="1">
      <alignment horizontal="right"/>
      <protection locked="0"/>
    </xf>
    <xf numFmtId="167" fontId="39" fillId="0" borderId="0" xfId="117" applyNumberFormat="1" applyFont="1" applyFill="1" applyBorder="1" applyAlignment="1" applyProtection="1">
      <protection locked="0"/>
    </xf>
    <xf numFmtId="3" fontId="39" fillId="0" borderId="0" xfId="117" quotePrefix="1" applyNumberFormat="1" applyFont="1" applyFill="1" applyBorder="1" applyAlignment="1" applyProtection="1">
      <protection locked="0"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/>
    <xf numFmtId="170" fontId="7" fillId="0" borderId="0" xfId="59" applyNumberFormat="1" applyFont="1" applyFill="1" applyBorder="1"/>
    <xf numFmtId="41" fontId="48" fillId="0" borderId="0" xfId="117" applyNumberFormat="1" applyFont="1" applyFill="1" applyBorder="1" applyAlignment="1" applyProtection="1">
      <protection locked="0"/>
    </xf>
    <xf numFmtId="0" fontId="0" fillId="0" borderId="0" xfId="0" applyAlignment="1"/>
    <xf numFmtId="41" fontId="7" fillId="0" borderId="11" xfId="0" applyNumberFormat="1" applyFont="1" applyFill="1" applyBorder="1"/>
    <xf numFmtId="41" fontId="7" fillId="0" borderId="0" xfId="0" applyNumberFormat="1" applyFont="1" applyBorder="1"/>
    <xf numFmtId="41" fontId="48" fillId="0" borderId="0" xfId="0" applyNumberFormat="1" applyFont="1"/>
    <xf numFmtId="0" fontId="9" fillId="0" borderId="0" xfId="0" applyFont="1" applyFill="1" applyAlignment="1">
      <alignment horizontal="left"/>
    </xf>
    <xf numFmtId="0" fontId="0" fillId="0" borderId="0" xfId="0" applyFill="1" applyAlignment="1"/>
    <xf numFmtId="41" fontId="7" fillId="0" borderId="0" xfId="0" applyNumberFormat="1" applyFont="1" applyFill="1"/>
    <xf numFmtId="170" fontId="7" fillId="0" borderId="0" xfId="59" applyNumberFormat="1" applyFont="1" applyFill="1"/>
    <xf numFmtId="10" fontId="7" fillId="0" borderId="11" xfId="0" applyNumberFormat="1" applyFont="1" applyFill="1" applyBorder="1"/>
    <xf numFmtId="9" fontId="7" fillId="0" borderId="11" xfId="120" applyFont="1" applyFill="1" applyBorder="1"/>
    <xf numFmtId="170" fontId="7" fillId="0" borderId="11" xfId="59" applyNumberFormat="1" applyFont="1" applyFill="1" applyBorder="1" applyAlignment="1"/>
    <xf numFmtId="41" fontId="0" fillId="0" borderId="0" xfId="0" applyNumberFormat="1"/>
    <xf numFmtId="41" fontId="7" fillId="0" borderId="11" xfId="0" applyNumberFormat="1" applyFont="1" applyBorder="1"/>
    <xf numFmtId="10" fontId="7" fillId="0" borderId="0" xfId="0" applyNumberFormat="1" applyFont="1"/>
    <xf numFmtId="10" fontId="48" fillId="0" borderId="0" xfId="0" applyNumberFormat="1" applyFont="1"/>
    <xf numFmtId="0" fontId="7" fillId="0" borderId="0" xfId="0" applyFont="1" applyFill="1" applyBorder="1" applyAlignment="1">
      <alignment wrapText="1"/>
    </xf>
    <xf numFmtId="170" fontId="7" fillId="0" borderId="11" xfId="59" applyNumberFormat="1" applyFont="1" applyFill="1" applyBorder="1"/>
    <xf numFmtId="0" fontId="0" fillId="0" borderId="0" xfId="0" applyFill="1"/>
    <xf numFmtId="174" fontId="7" fillId="0" borderId="0" xfId="0" applyNumberFormat="1" applyFont="1"/>
    <xf numFmtId="43" fontId="7" fillId="0" borderId="0" xfId="59" applyFont="1"/>
    <xf numFmtId="43" fontId="7" fillId="0" borderId="0" xfId="59" applyNumberFormat="1" applyFont="1"/>
    <xf numFmtId="170" fontId="7" fillId="0" borderId="0" xfId="0" applyNumberFormat="1" applyFont="1"/>
    <xf numFmtId="0" fontId="50" fillId="0" borderId="0" xfId="0" applyFo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170" fontId="7" fillId="0" borderId="0" xfId="59" applyNumberFormat="1" applyFont="1" applyBorder="1"/>
    <xf numFmtId="0" fontId="39" fillId="0" borderId="0" xfId="0" applyFont="1" applyAlignment="1">
      <alignment horizontal="left"/>
    </xf>
    <xf numFmtId="0" fontId="51" fillId="27" borderId="0" xfId="59" applyNumberFormat="1" applyFont="1" applyFill="1" applyAlignment="1">
      <alignment horizontal="left"/>
    </xf>
    <xf numFmtId="0" fontId="39" fillId="0" borderId="17" xfId="0" applyFont="1" applyBorder="1"/>
    <xf numFmtId="0" fontId="39" fillId="0" borderId="18" xfId="0" applyFont="1" applyBorder="1"/>
    <xf numFmtId="0" fontId="7" fillId="0" borderId="18" xfId="0" applyFont="1" applyBorder="1"/>
    <xf numFmtId="170" fontId="39" fillId="0" borderId="19" xfId="59" applyNumberFormat="1" applyFont="1" applyBorder="1"/>
    <xf numFmtId="0" fontId="14" fillId="0" borderId="0" xfId="59" applyNumberFormat="1" applyFont="1" applyFill="1" applyAlignment="1">
      <alignment horizontal="left"/>
    </xf>
    <xf numFmtId="0" fontId="14" fillId="0" borderId="0" xfId="59" applyNumberFormat="1" applyFont="1" applyFill="1" applyBorder="1" applyAlignment="1">
      <alignment horizontal="left"/>
    </xf>
    <xf numFmtId="0" fontId="39" fillId="0" borderId="13" xfId="0" applyFont="1" applyBorder="1"/>
    <xf numFmtId="0" fontId="9" fillId="0" borderId="0" xfId="59" applyNumberFormat="1" applyFont="1" applyFill="1" applyBorder="1" applyAlignment="1">
      <alignment horizontal="left"/>
    </xf>
    <xf numFmtId="170" fontId="39" fillId="0" borderId="20" xfId="59" applyNumberFormat="1" applyFont="1" applyBorder="1"/>
    <xf numFmtId="0" fontId="39" fillId="0" borderId="0" xfId="0" applyFont="1" applyFill="1"/>
    <xf numFmtId="170" fontId="39" fillId="0" borderId="15" xfId="59" applyNumberFormat="1" applyFont="1" applyBorder="1"/>
    <xf numFmtId="170" fontId="7" fillId="0" borderId="6" xfId="59" applyNumberFormat="1" applyFont="1" applyBorder="1"/>
    <xf numFmtId="170" fontId="7" fillId="0" borderId="16" xfId="59" applyNumberFormat="1" applyFont="1" applyBorder="1"/>
    <xf numFmtId="0" fontId="53" fillId="0" borderId="0" xfId="0" applyFont="1" applyFill="1" applyAlignment="1"/>
    <xf numFmtId="0" fontId="7" fillId="0" borderId="0" xfId="0" applyFont="1" applyFill="1" applyAlignment="1">
      <alignment wrapText="1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/>
    <xf numFmtId="170" fontId="54" fillId="27" borderId="14" xfId="59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54" fillId="27" borderId="14" xfId="0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0" fontId="7" fillId="0" borderId="14" xfId="0" applyNumberFormat="1" applyFont="1" applyBorder="1"/>
    <xf numFmtId="10" fontId="7" fillId="0" borderId="0" xfId="0" applyNumberFormat="1" applyFont="1" applyFill="1" applyBorder="1"/>
    <xf numFmtId="170" fontId="7" fillId="0" borderId="14" xfId="59" applyNumberFormat="1" applyFont="1" applyBorder="1"/>
    <xf numFmtId="0" fontId="39" fillId="0" borderId="24" xfId="0" applyFont="1" applyBorder="1" applyAlignment="1">
      <alignment horizontal="center"/>
    </xf>
    <xf numFmtId="170" fontId="39" fillId="0" borderId="24" xfId="59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70" fontId="39" fillId="0" borderId="24" xfId="59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170" fontId="39" fillId="0" borderId="16" xfId="59" applyNumberFormat="1" applyFont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70" fontId="39" fillId="0" borderId="26" xfId="59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70" fontId="7" fillId="0" borderId="0" xfId="0" applyNumberFormat="1" applyFont="1" applyBorder="1"/>
    <xf numFmtId="170" fontId="7" fillId="0" borderId="24" xfId="59" applyNumberFormat="1" applyFont="1" applyBorder="1"/>
    <xf numFmtId="171" fontId="7" fillId="0" borderId="14" xfId="0" applyNumberFormat="1" applyFont="1" applyBorder="1"/>
    <xf numFmtId="171" fontId="7" fillId="0" borderId="24" xfId="0" applyNumberFormat="1" applyFont="1" applyBorder="1"/>
    <xf numFmtId="171" fontId="7" fillId="0" borderId="25" xfId="0" applyNumberFormat="1" applyFont="1" applyBorder="1"/>
    <xf numFmtId="170" fontId="7" fillId="0" borderId="25" xfId="0" applyNumberFormat="1" applyFont="1" applyBorder="1"/>
    <xf numFmtId="170" fontId="1" fillId="0" borderId="25" xfId="59" applyNumberFormat="1" applyBorder="1"/>
    <xf numFmtId="170" fontId="7" fillId="0" borderId="25" xfId="59" applyNumberFormat="1" applyFont="1" applyBorder="1"/>
    <xf numFmtId="170" fontId="7" fillId="0" borderId="25" xfId="0" applyNumberFormat="1" applyFont="1" applyFill="1" applyBorder="1"/>
    <xf numFmtId="170" fontId="7" fillId="0" borderId="25" xfId="59" applyNumberFormat="1" applyFont="1" applyFill="1" applyBorder="1"/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/>
    <xf numFmtId="170" fontId="1" fillId="0" borderId="26" xfId="59" applyNumberFormat="1" applyBorder="1"/>
    <xf numFmtId="170" fontId="7" fillId="0" borderId="26" xfId="59" applyNumberFormat="1" applyFont="1" applyFill="1" applyBorder="1"/>
    <xf numFmtId="171" fontId="7" fillId="0" borderId="16" xfId="0" applyNumberFormat="1" applyFont="1" applyBorder="1"/>
    <xf numFmtId="171" fontId="7" fillId="0" borderId="26" xfId="0" applyNumberFormat="1" applyFont="1" applyBorder="1"/>
    <xf numFmtId="0" fontId="53" fillId="0" borderId="0" xfId="0" applyFont="1" applyFill="1"/>
    <xf numFmtId="171" fontId="7" fillId="0" borderId="0" xfId="0" applyNumberFormat="1" applyFont="1" applyBorder="1"/>
    <xf numFmtId="171" fontId="7" fillId="0" borderId="24" xfId="0" applyNumberFormat="1" applyFont="1" applyFill="1" applyBorder="1"/>
    <xf numFmtId="170" fontId="55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50" fillId="0" borderId="0" xfId="0" applyFont="1" applyFill="1"/>
    <xf numFmtId="0" fontId="7" fillId="0" borderId="0" xfId="59" applyNumberFormat="1" applyFont="1" applyFill="1" applyAlignment="1" applyProtection="1">
      <protection locked="0"/>
    </xf>
    <xf numFmtId="169" fontId="15" fillId="0" borderId="17" xfId="117" applyFont="1" applyBorder="1" applyAlignment="1" applyProtection="1">
      <protection locked="0"/>
    </xf>
    <xf numFmtId="169" fontId="7" fillId="0" borderId="18" xfId="117" applyFont="1" applyBorder="1" applyAlignment="1" applyProtection="1">
      <protection locked="0"/>
    </xf>
    <xf numFmtId="3" fontId="7" fillId="0" borderId="19" xfId="117" applyNumberFormat="1" applyFont="1" applyBorder="1" applyAlignment="1" applyProtection="1">
      <protection locked="0"/>
    </xf>
    <xf numFmtId="167" fontId="7" fillId="0" borderId="0" xfId="117" applyNumberFormat="1" applyFont="1" applyAlignment="1" applyProtection="1">
      <protection locked="0"/>
    </xf>
    <xf numFmtId="0" fontId="0" fillId="0" borderId="0" xfId="0" applyBorder="1" applyAlignment="1">
      <alignment horizontal="right"/>
    </xf>
    <xf numFmtId="171" fontId="0" fillId="0" borderId="0" xfId="0" applyNumberFormat="1" applyBorder="1"/>
    <xf numFmtId="171" fontId="0" fillId="0" borderId="14" xfId="0" applyNumberFormat="1" applyBorder="1"/>
    <xf numFmtId="171" fontId="0" fillId="0" borderId="6" xfId="0" applyNumberFormat="1" applyBorder="1"/>
    <xf numFmtId="167" fontId="48" fillId="0" borderId="0" xfId="117" applyNumberFormat="1" applyFont="1" applyAlignment="1" applyProtection="1">
      <protection locked="0"/>
    </xf>
    <xf numFmtId="170" fontId="0" fillId="0" borderId="0" xfId="0" applyNumberFormat="1" applyBorder="1"/>
    <xf numFmtId="170" fontId="0" fillId="0" borderId="19" xfId="0" applyNumberFormat="1" applyBorder="1"/>
    <xf numFmtId="173" fontId="7" fillId="0" borderId="0" xfId="117" applyNumberFormat="1" applyFont="1" applyAlignment="1" applyProtection="1">
      <protection locked="0"/>
    </xf>
    <xf numFmtId="165" fontId="7" fillId="0" borderId="15" xfId="117" applyNumberFormat="1" applyFont="1" applyBorder="1" applyAlignment="1" applyProtection="1">
      <alignment horizontal="center"/>
      <protection locked="0"/>
    </xf>
    <xf numFmtId="170" fontId="7" fillId="0" borderId="6" xfId="117" quotePrefix="1" applyNumberFormat="1" applyFont="1" applyBorder="1" applyAlignment="1" applyProtection="1">
      <alignment horizontal="center"/>
      <protection locked="0"/>
    </xf>
    <xf numFmtId="41" fontId="48" fillId="0" borderId="11" xfId="117" applyNumberFormat="1" applyFont="1" applyFill="1" applyBorder="1" applyAlignment="1" applyProtection="1">
      <protection locked="0"/>
    </xf>
    <xf numFmtId="9" fontId="7" fillId="0" borderId="0" xfId="120" applyFont="1" applyFill="1" applyBorder="1"/>
    <xf numFmtId="170" fontId="7" fillId="0" borderId="0" xfId="59" applyNumberFormat="1" applyFont="1" applyFill="1" applyBorder="1" applyAlignment="1"/>
    <xf numFmtId="41" fontId="56" fillId="0" borderId="0" xfId="0" applyNumberFormat="1" applyFont="1"/>
    <xf numFmtId="10" fontId="0" fillId="0" borderId="0" xfId="0" applyNumberFormat="1"/>
    <xf numFmtId="164" fontId="1" fillId="0" borderId="0" xfId="120" applyNumberFormat="1"/>
    <xf numFmtId="0" fontId="9" fillId="0" borderId="0" xfId="0" applyFont="1" applyFill="1"/>
    <xf numFmtId="170" fontId="39" fillId="0" borderId="0" xfId="59" applyNumberFormat="1" applyFont="1" applyBorder="1"/>
    <xf numFmtId="170" fontId="7" fillId="0" borderId="14" xfId="0" applyNumberFormat="1" applyFont="1" applyBorder="1"/>
    <xf numFmtId="170" fontId="39" fillId="0" borderId="11" xfId="59" applyNumberFormat="1" applyFont="1" applyBorder="1"/>
    <xf numFmtId="170" fontId="7" fillId="0" borderId="20" xfId="0" applyNumberFormat="1" applyFont="1" applyBorder="1"/>
    <xf numFmtId="0" fontId="7" fillId="0" borderId="15" xfId="0" applyFont="1" applyBorder="1"/>
    <xf numFmtId="170" fontId="39" fillId="0" borderId="6" xfId="59" applyNumberFormat="1" applyFont="1" applyFill="1" applyBorder="1" applyAlignment="1">
      <alignment horizontal="left"/>
    </xf>
    <xf numFmtId="170" fontId="39" fillId="0" borderId="16" xfId="59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0" xfId="0" applyFill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39" fillId="0" borderId="24" xfId="0" applyFont="1" applyBorder="1" applyAlignment="1">
      <alignment horizontal="center" wrapText="1"/>
    </xf>
    <xf numFmtId="170" fontId="39" fillId="0" borderId="0" xfId="59" applyNumberFormat="1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70" fontId="7" fillId="0" borderId="24" xfId="0" applyNumberFormat="1" applyFont="1" applyBorder="1"/>
    <xf numFmtId="170" fontId="7" fillId="0" borderId="6" xfId="0" applyNumberFormat="1" applyFont="1" applyBorder="1"/>
    <xf numFmtId="0" fontId="55" fillId="0" borderId="0" xfId="0" applyFont="1"/>
    <xf numFmtId="0" fontId="58" fillId="0" borderId="0" xfId="0" applyFont="1" applyFill="1"/>
    <xf numFmtId="170" fontId="7" fillId="0" borderId="14" xfId="59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28" borderId="6" xfId="117" applyNumberFormat="1" applyFont="1" applyFill="1" applyBorder="1" applyAlignment="1" applyProtection="1">
      <alignment horizontal="center"/>
      <protection locked="0"/>
    </xf>
    <xf numFmtId="0" fontId="7" fillId="28" borderId="0" xfId="117" applyNumberFormat="1" applyFont="1" applyFill="1" applyBorder="1" applyAlignment="1" applyProtection="1">
      <alignment horizontal="center"/>
      <protection locked="0"/>
    </xf>
    <xf numFmtId="0" fontId="52" fillId="27" borderId="0" xfId="0" applyFont="1" applyFill="1" applyAlignment="1">
      <alignment horizontal="left"/>
    </xf>
    <xf numFmtId="0" fontId="39" fillId="0" borderId="22" xfId="0" applyFont="1" applyFill="1" applyBorder="1" applyAlignment="1"/>
    <xf numFmtId="0" fontId="61" fillId="28" borderId="22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3" fontId="0" fillId="0" borderId="0" xfId="0" applyNumberFormat="1"/>
    <xf numFmtId="0" fontId="0" fillId="0" borderId="0" xfId="0" quotePrefix="1" applyAlignment="1">
      <alignment horizontal="left"/>
    </xf>
    <xf numFmtId="0" fontId="65" fillId="0" borderId="0" xfId="0" quotePrefix="1" applyFont="1" applyAlignment="1">
      <alignment horizontal="left"/>
    </xf>
    <xf numFmtId="0" fontId="0" fillId="0" borderId="27" xfId="0" applyBorder="1"/>
    <xf numFmtId="0" fontId="66" fillId="0" borderId="0" xfId="0" quotePrefix="1" applyFont="1" applyAlignment="1">
      <alignment horizontal="left"/>
    </xf>
    <xf numFmtId="0" fontId="64" fillId="0" borderId="0" xfId="0" quotePrefix="1" applyFont="1" applyAlignment="1">
      <alignment horizontal="left"/>
    </xf>
    <xf numFmtId="170" fontId="54" fillId="0" borderId="24" xfId="0" applyNumberFormat="1" applyFont="1" applyBorder="1"/>
    <xf numFmtId="170" fontId="54" fillId="0" borderId="25" xfId="0" applyNumberFormat="1" applyFont="1" applyBorder="1"/>
    <xf numFmtId="171" fontId="54" fillId="0" borderId="26" xfId="0" applyNumberFormat="1" applyFont="1" applyBorder="1"/>
    <xf numFmtId="0" fontId="39" fillId="0" borderId="0" xfId="0" quotePrefix="1" applyFont="1" applyAlignment="1">
      <alignment horizontal="left"/>
    </xf>
    <xf numFmtId="0" fontId="7" fillId="28" borderId="0" xfId="59" applyNumberFormat="1" applyFont="1" applyFill="1" applyAlignment="1" applyProtection="1">
      <protection locked="0"/>
    </xf>
    <xf numFmtId="171" fontId="54" fillId="0" borderId="25" xfId="0" applyNumberFormat="1" applyFont="1" applyBorder="1"/>
    <xf numFmtId="0" fontId="0" fillId="0" borderId="19" xfId="0" applyBorder="1"/>
    <xf numFmtId="0" fontId="54" fillId="0" borderId="14" xfId="0" applyFont="1" applyBorder="1"/>
    <xf numFmtId="0" fontId="54" fillId="0" borderId="16" xfId="0" applyFont="1" applyBorder="1"/>
    <xf numFmtId="0" fontId="46" fillId="0" borderId="0" xfId="0" applyFont="1" applyAlignment="1">
      <alignment horizontal="center"/>
    </xf>
    <xf numFmtId="0" fontId="0" fillId="0" borderId="23" xfId="0" applyBorder="1" applyAlignment="1"/>
    <xf numFmtId="0" fontId="68" fillId="0" borderId="0" xfId="0" quotePrefix="1" applyFont="1" applyAlignment="1">
      <alignment horizontal="left"/>
    </xf>
    <xf numFmtId="0" fontId="68" fillId="0" borderId="0" xfId="0" applyFont="1"/>
    <xf numFmtId="0" fontId="69" fillId="0" borderId="0" xfId="0" applyFont="1"/>
    <xf numFmtId="0" fontId="7" fillId="0" borderId="0" xfId="0" applyFont="1" applyAlignment="1">
      <alignment horizontal="left"/>
    </xf>
    <xf numFmtId="0" fontId="50" fillId="0" borderId="0" xfId="0" quotePrefix="1" applyFont="1" applyAlignment="1">
      <alignment horizontal="left"/>
    </xf>
    <xf numFmtId="0" fontId="46" fillId="0" borderId="0" xfId="0" quotePrefix="1" applyFont="1" applyAlignment="1">
      <alignment horizontal="center"/>
    </xf>
    <xf numFmtId="171" fontId="46" fillId="0" borderId="0" xfId="0" quotePrefix="1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Fill="1" applyAlignment="1"/>
    <xf numFmtId="0" fontId="55" fillId="0" borderId="0" xfId="0" quotePrefix="1" applyFont="1" applyAlignment="1">
      <alignment horizontal="left"/>
    </xf>
    <xf numFmtId="0" fontId="67" fillId="0" borderId="0" xfId="0" applyFont="1" applyFill="1" applyAlignment="1">
      <alignment horizontal="right"/>
    </xf>
    <xf numFmtId="0" fontId="46" fillId="0" borderId="0" xfId="0" quotePrefix="1" applyFont="1" applyAlignment="1">
      <alignment horizontal="right"/>
    </xf>
    <xf numFmtId="0" fontId="39" fillId="0" borderId="28" xfId="0" applyFont="1" applyFill="1" applyBorder="1" applyAlignment="1">
      <alignment horizontal="center"/>
    </xf>
    <xf numFmtId="169" fontId="7" fillId="0" borderId="29" xfId="117" applyFont="1" applyBorder="1" applyAlignment="1" applyProtection="1">
      <alignment horizontal="center"/>
      <protection locked="0"/>
    </xf>
    <xf numFmtId="169" fontId="7" fillId="0" borderId="29" xfId="117" quotePrefix="1" applyFont="1" applyBorder="1" applyAlignment="1" applyProtection="1">
      <alignment horizontal="center"/>
      <protection locked="0"/>
    </xf>
    <xf numFmtId="3" fontId="7" fillId="0" borderId="30" xfId="117" applyNumberFormat="1" applyFont="1" applyBorder="1" applyAlignment="1" applyProtection="1">
      <alignment horizontal="center"/>
      <protection locked="0"/>
    </xf>
    <xf numFmtId="0" fontId="55" fillId="0" borderId="24" xfId="0" applyFont="1" applyBorder="1"/>
    <xf numFmtId="170" fontId="7" fillId="0" borderId="13" xfId="59" quotePrefix="1" applyNumberFormat="1" applyFont="1" applyBorder="1" applyAlignment="1">
      <alignment horizontal="right"/>
    </xf>
    <xf numFmtId="0" fontId="57" fillId="0" borderId="31" xfId="59" applyNumberFormat="1" applyFont="1" applyFill="1" applyBorder="1" applyAlignment="1">
      <alignment horizontal="left"/>
    </xf>
    <xf numFmtId="170" fontId="7" fillId="0" borderId="32" xfId="59" quotePrefix="1" applyNumberFormat="1" applyFont="1" applyBorder="1" applyAlignment="1">
      <alignment horizontal="right"/>
    </xf>
    <xf numFmtId="170" fontId="55" fillId="0" borderId="26" xfId="59" applyNumberFormat="1" applyFont="1" applyBorder="1"/>
    <xf numFmtId="0" fontId="7" fillId="0" borderId="15" xfId="0" quotePrefix="1" applyFont="1" applyBorder="1" applyAlignment="1">
      <alignment horizontal="right"/>
    </xf>
    <xf numFmtId="0" fontId="52" fillId="0" borderId="0" xfId="0" applyFont="1" applyFill="1" applyAlignment="1">
      <alignment horizontal="left"/>
    </xf>
    <xf numFmtId="0" fontId="39" fillId="0" borderId="13" xfId="0" applyFont="1" applyFill="1" applyBorder="1" applyAlignment="1">
      <alignment horizontal="center"/>
    </xf>
    <xf numFmtId="171" fontId="7" fillId="0" borderId="25" xfId="0" applyNumberFormat="1" applyFont="1" applyFill="1" applyBorder="1"/>
    <xf numFmtId="3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169" fontId="14" fillId="0" borderId="0" xfId="117" applyFont="1" applyFill="1" applyAlignment="1"/>
    <xf numFmtId="49" fontId="71" fillId="0" borderId="0" xfId="117" applyNumberFormat="1" applyFont="1" applyFill="1" applyAlignment="1" applyProtection="1">
      <alignment horizontal="center"/>
      <protection locked="0"/>
    </xf>
    <xf numFmtId="0" fontId="39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170" fontId="1" fillId="0" borderId="11" xfId="59" applyNumberFormat="1" applyBorder="1"/>
    <xf numFmtId="43" fontId="1" fillId="0" borderId="0" xfId="59"/>
    <xf numFmtId="0" fontId="65" fillId="0" borderId="0" xfId="0" quotePrefix="1" applyFont="1" applyFill="1" applyBorder="1" applyAlignment="1">
      <alignment horizontal="center" wrapText="1"/>
    </xf>
    <xf numFmtId="0" fontId="65" fillId="0" borderId="0" xfId="0" quotePrefix="1" applyFont="1" applyBorder="1" applyAlignment="1">
      <alignment horizontal="centerContinuous"/>
    </xf>
    <xf numFmtId="0" fontId="39" fillId="0" borderId="11" xfId="0" applyFont="1" applyBorder="1" applyAlignment="1">
      <alignment horizontal="centerContinuous"/>
    </xf>
    <xf numFmtId="0" fontId="72" fillId="0" borderId="0" xfId="0" applyFont="1" applyFill="1"/>
    <xf numFmtId="0" fontId="65" fillId="0" borderId="0" xfId="0" applyFont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170" fontId="64" fillId="27" borderId="0" xfId="59" applyNumberFormat="1" applyFont="1" applyFill="1" applyAlignment="1">
      <alignment vertical="center"/>
    </xf>
    <xf numFmtId="170" fontId="1" fillId="0" borderId="0" xfId="59" applyNumberFormat="1" applyAlignment="1">
      <alignment vertical="center"/>
    </xf>
    <xf numFmtId="170" fontId="39" fillId="0" borderId="0" xfId="59" applyNumberFormat="1" applyFont="1" applyAlignment="1">
      <alignment horizontal="center" vertical="center"/>
    </xf>
    <xf numFmtId="170" fontId="39" fillId="0" borderId="0" xfId="59" applyNumberFormat="1" applyFont="1" applyAlignment="1">
      <alignment vertical="center"/>
    </xf>
    <xf numFmtId="0" fontId="7" fillId="0" borderId="0" xfId="0" applyFont="1" applyAlignment="1">
      <alignment vertical="center"/>
    </xf>
    <xf numFmtId="43" fontId="1" fillId="0" borderId="0" xfId="59" applyAlignment="1">
      <alignment vertical="center"/>
    </xf>
    <xf numFmtId="0" fontId="0" fillId="0" borderId="0" xfId="0" quotePrefix="1" applyAlignment="1">
      <alignment horizontal="left" vertical="center"/>
    </xf>
    <xf numFmtId="170" fontId="64" fillId="27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0" fontId="73" fillId="0" borderId="0" xfId="59" applyNumberFormat="1" applyFont="1" applyAlignment="1">
      <alignment horizontal="center" vertical="center"/>
    </xf>
    <xf numFmtId="3" fontId="14" fillId="0" borderId="0" xfId="0" quotePrefix="1" applyNumberFormat="1" applyFont="1" applyFill="1" applyAlignment="1">
      <alignment horizontal="center"/>
    </xf>
    <xf numFmtId="0" fontId="0" fillId="0" borderId="33" xfId="0" applyBorder="1"/>
    <xf numFmtId="0" fontId="0" fillId="0" borderId="2" xfId="0" applyBorder="1"/>
    <xf numFmtId="170" fontId="1" fillId="0" borderId="2" xfId="59" applyNumberFormat="1" applyBorder="1"/>
    <xf numFmtId="0" fontId="0" fillId="0" borderId="34" xfId="0" applyBorder="1"/>
    <xf numFmtId="0" fontId="0" fillId="0" borderId="0" xfId="0" applyBorder="1" applyAlignment="1">
      <alignment horizontal="center"/>
    </xf>
    <xf numFmtId="49" fontId="71" fillId="0" borderId="0" xfId="117" applyNumberFormat="1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11" xfId="0" applyBorder="1"/>
    <xf numFmtId="0" fontId="0" fillId="0" borderId="37" xfId="0" applyBorder="1"/>
    <xf numFmtId="168" fontId="7" fillId="0" borderId="14" xfId="59" applyNumberFormat="1" applyFont="1" applyFill="1" applyBorder="1"/>
    <xf numFmtId="170" fontId="7" fillId="0" borderId="14" xfId="59" applyNumberFormat="1" applyFont="1" applyFill="1" applyBorder="1"/>
    <xf numFmtId="170" fontId="7" fillId="0" borderId="16" xfId="59" applyNumberFormat="1" applyFont="1" applyFill="1" applyBorder="1"/>
    <xf numFmtId="170" fontId="39" fillId="27" borderId="26" xfId="59" applyNumberFormat="1" applyFont="1" applyFill="1" applyBorder="1" applyAlignment="1">
      <alignment horizontal="center"/>
    </xf>
    <xf numFmtId="170" fontId="39" fillId="27" borderId="16" xfId="59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43" fontId="53" fillId="0" borderId="0" xfId="59" applyFont="1" applyAlignment="1">
      <alignment horizontal="center" vertical="center"/>
    </xf>
    <xf numFmtId="0" fontId="65" fillId="0" borderId="0" xfId="0" quotePrefix="1" applyFont="1" applyBorder="1" applyAlignment="1">
      <alignment horizontal="center" wrapText="1"/>
    </xf>
    <xf numFmtId="170" fontId="1" fillId="0" borderId="0" xfId="59" applyNumberFormat="1" applyFont="1" applyFill="1" applyAlignment="1">
      <alignment vertical="center"/>
    </xf>
    <xf numFmtId="170" fontId="1" fillId="0" borderId="0" xfId="59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Continuous"/>
    </xf>
    <xf numFmtId="0" fontId="65" fillId="0" borderId="11" xfId="0" quotePrefix="1" applyFont="1" applyBorder="1" applyAlignment="1">
      <alignment horizontal="centerContinuous"/>
    </xf>
    <xf numFmtId="0" fontId="39" fillId="0" borderId="11" xfId="0" applyFont="1" applyBorder="1" applyAlignment="1">
      <alignment horizontal="left"/>
    </xf>
    <xf numFmtId="0" fontId="0" fillId="0" borderId="25" xfId="0" applyBorder="1"/>
    <xf numFmtId="0" fontId="0" fillId="0" borderId="38" xfId="0" applyBorder="1" applyAlignment="1">
      <alignment wrapText="1"/>
    </xf>
    <xf numFmtId="170" fontId="54" fillId="0" borderId="25" xfId="59" applyNumberFormat="1" applyFont="1" applyFill="1" applyBorder="1"/>
    <xf numFmtId="171" fontId="54" fillId="27" borderId="24" xfId="0" applyNumberFormat="1" applyFont="1" applyFill="1" applyBorder="1"/>
    <xf numFmtId="171" fontId="54" fillId="27" borderId="25" xfId="0" applyNumberFormat="1" applyFont="1" applyFill="1" applyBorder="1"/>
    <xf numFmtId="171" fontId="54" fillId="27" borderId="26" xfId="0" applyNumberFormat="1" applyFont="1" applyFill="1" applyBorder="1"/>
    <xf numFmtId="171" fontId="54" fillId="0" borderId="24" xfId="0" applyNumberFormat="1" applyFont="1" applyFill="1" applyBorder="1"/>
    <xf numFmtId="171" fontId="54" fillId="0" borderId="25" xfId="0" applyNumberFormat="1" applyFont="1" applyFill="1" applyBorder="1"/>
    <xf numFmtId="170" fontId="39" fillId="0" borderId="24" xfId="59" quotePrefix="1" applyNumberFormat="1" applyFont="1" applyBorder="1" applyAlignment="1">
      <alignment horizontal="center" wrapText="1"/>
    </xf>
    <xf numFmtId="170" fontId="39" fillId="0" borderId="24" xfId="59" applyNumberFormat="1" applyFont="1" applyFill="1" applyBorder="1" applyAlignment="1">
      <alignment horizontal="center" wrapText="1"/>
    </xf>
    <xf numFmtId="170" fontId="39" fillId="0" borderId="26" xfId="59" applyNumberFormat="1" applyFont="1" applyFill="1" applyBorder="1" applyAlignment="1">
      <alignment horizontal="center"/>
    </xf>
    <xf numFmtId="170" fontId="39" fillId="0" borderId="15" xfId="59" applyNumberFormat="1" applyFont="1" applyFill="1" applyBorder="1" applyAlignment="1">
      <alignment horizontal="center"/>
    </xf>
    <xf numFmtId="0" fontId="52" fillId="0" borderId="0" xfId="0" quotePrefix="1" applyFont="1" applyFill="1" applyAlignment="1">
      <alignment horizontal="left"/>
    </xf>
    <xf numFmtId="170" fontId="54" fillId="0" borderId="14" xfId="59" applyNumberFormat="1" applyFont="1" applyFill="1" applyBorder="1"/>
    <xf numFmtId="170" fontId="54" fillId="0" borderId="26" xfId="59" applyNumberFormat="1" applyFont="1" applyFill="1" applyBorder="1"/>
    <xf numFmtId="170" fontId="54" fillId="0" borderId="16" xfId="59" applyNumberFormat="1" applyFont="1" applyFill="1" applyBorder="1"/>
    <xf numFmtId="164" fontId="1" fillId="0" borderId="0" xfId="0" applyNumberFormat="1" applyFont="1" applyFill="1"/>
    <xf numFmtId="171" fontId="0" fillId="0" borderId="0" xfId="76" applyNumberFormat="1" applyFont="1"/>
    <xf numFmtId="170" fontId="0" fillId="0" borderId="26" xfId="0" applyNumberFormat="1" applyBorder="1"/>
    <xf numFmtId="0" fontId="0" fillId="0" borderId="0" xfId="0" quotePrefix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53" fillId="0" borderId="0" xfId="0" quotePrefix="1" applyFont="1" applyAlignment="1">
      <alignment horizontal="left"/>
    </xf>
    <xf numFmtId="43" fontId="75" fillId="0" borderId="0" xfId="59" applyFont="1" applyAlignment="1">
      <alignment horizontal="left" vertical="center"/>
    </xf>
    <xf numFmtId="170" fontId="75" fillId="0" borderId="0" xfId="59" applyNumberFormat="1" applyFont="1" applyAlignment="1">
      <alignment horizontal="center" vertical="center"/>
    </xf>
    <xf numFmtId="13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71" fontId="7" fillId="0" borderId="19" xfId="0" applyNumberFormat="1" applyFont="1" applyBorder="1"/>
    <xf numFmtId="170" fontId="39" fillId="0" borderId="25" xfId="59" applyNumberFormat="1" applyFont="1" applyBorder="1" applyAlignment="1">
      <alignment horizontal="center"/>
    </xf>
    <xf numFmtId="170" fontId="0" fillId="0" borderId="25" xfId="0" applyNumberFormat="1" applyBorder="1" applyAlignment="1">
      <alignment vertical="center"/>
    </xf>
    <xf numFmtId="170" fontId="39" fillId="27" borderId="19" xfId="59" quotePrefix="1" applyNumberFormat="1" applyFont="1" applyFill="1" applyBorder="1" applyAlignment="1">
      <alignment horizontal="center" wrapText="1"/>
    </xf>
    <xf numFmtId="170" fontId="39" fillId="0" borderId="19" xfId="59" quotePrefix="1" applyNumberFormat="1" applyFont="1" applyBorder="1" applyAlignment="1">
      <alignment horizontal="center" wrapText="1"/>
    </xf>
    <xf numFmtId="170" fontId="39" fillId="27" borderId="24" xfId="59" quotePrefix="1" applyNumberFormat="1" applyFont="1" applyFill="1" applyBorder="1" applyAlignment="1">
      <alignment horizontal="center" wrapText="1"/>
    </xf>
    <xf numFmtId="170" fontId="1" fillId="0" borderId="0" xfId="59" applyNumberFormat="1" applyFont="1" applyAlignment="1">
      <alignment horizontal="center" vertical="center"/>
    </xf>
    <xf numFmtId="170" fontId="0" fillId="0" borderId="0" xfId="59" applyNumberFormat="1" applyFont="1"/>
    <xf numFmtId="170" fontId="54" fillId="27" borderId="0" xfId="0" applyNumberFormat="1" applyFont="1" applyFill="1" applyBorder="1"/>
    <xf numFmtId="170" fontId="54" fillId="27" borderId="24" xfId="59" applyNumberFormat="1" applyFont="1" applyFill="1" applyBorder="1"/>
    <xf numFmtId="170" fontId="54" fillId="27" borderId="25" xfId="59" applyNumberFormat="1" applyFont="1" applyFill="1" applyBorder="1"/>
    <xf numFmtId="170" fontId="54" fillId="27" borderId="0" xfId="0" quotePrefix="1" applyNumberFormat="1" applyFont="1" applyFill="1" applyBorder="1" applyAlignment="1">
      <alignment horizontal="left"/>
    </xf>
    <xf numFmtId="170" fontId="54" fillId="27" borderId="14" xfId="59" applyNumberFormat="1" applyFont="1" applyFill="1" applyBorder="1"/>
    <xf numFmtId="170" fontId="54" fillId="27" borderId="25" xfId="0" applyNumberFormat="1" applyFont="1" applyFill="1" applyBorder="1"/>
    <xf numFmtId="170" fontId="64" fillId="27" borderId="25" xfId="59" applyNumberFormat="1" applyFont="1" applyFill="1" applyBorder="1"/>
    <xf numFmtId="170" fontId="54" fillId="27" borderId="24" xfId="0" applyNumberFormat="1" applyFont="1" applyFill="1" applyBorder="1"/>
    <xf numFmtId="168" fontId="54" fillId="27" borderId="25" xfId="59" applyNumberFormat="1" applyFont="1" applyFill="1" applyBorder="1"/>
    <xf numFmtId="168" fontId="54" fillId="27" borderId="14" xfId="59" applyNumberFormat="1" applyFont="1" applyFill="1" applyBorder="1"/>
    <xf numFmtId="0" fontId="7" fillId="0" borderId="13" xfId="0" quotePrefix="1" applyFont="1" applyFill="1" applyBorder="1" applyAlignment="1">
      <alignment horizontal="left"/>
    </xf>
    <xf numFmtId="170" fontId="7" fillId="0" borderId="26" xfId="59" applyNumberFormat="1" applyFont="1" applyBorder="1"/>
    <xf numFmtId="175" fontId="5" fillId="0" borderId="14" xfId="0" applyNumberFormat="1" applyFont="1" applyBorder="1"/>
    <xf numFmtId="176" fontId="7" fillId="0" borderId="14" xfId="59" applyNumberFormat="1" applyFont="1" applyBorder="1"/>
    <xf numFmtId="171" fontId="54" fillId="29" borderId="25" xfId="0" applyNumberFormat="1" applyFont="1" applyFill="1" applyBorder="1"/>
    <xf numFmtId="171" fontId="7" fillId="29" borderId="25" xfId="0" applyNumberFormat="1" applyFont="1" applyFill="1" applyBorder="1"/>
    <xf numFmtId="0" fontId="61" fillId="28" borderId="22" xfId="0" quotePrefix="1" applyFont="1" applyFill="1" applyBorder="1" applyAlignment="1">
      <alignment horizontal="center"/>
    </xf>
    <xf numFmtId="43" fontId="76" fillId="0" borderId="0" xfId="59" applyFont="1" applyAlignment="1">
      <alignment vertical="center"/>
    </xf>
    <xf numFmtId="171" fontId="54" fillId="29" borderId="24" xfId="0" applyNumberFormat="1" applyFont="1" applyFill="1" applyBorder="1"/>
    <xf numFmtId="171" fontId="7" fillId="29" borderId="24" xfId="0" applyNumberFormat="1" applyFont="1" applyFill="1" applyBorder="1"/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70" fontId="7" fillId="0" borderId="15" xfId="0" applyNumberFormat="1" applyFont="1" applyBorder="1"/>
    <xf numFmtId="0" fontId="1" fillId="0" borderId="14" xfId="0" applyFont="1" applyBorder="1"/>
    <xf numFmtId="10" fontId="54" fillId="0" borderId="39" xfId="0" applyNumberFormat="1" applyFont="1" applyBorder="1"/>
    <xf numFmtId="0" fontId="1" fillId="0" borderId="40" xfId="0" applyFont="1" applyBorder="1"/>
    <xf numFmtId="166" fontId="54" fillId="0" borderId="39" xfId="0" applyNumberFormat="1" applyFont="1" applyBorder="1"/>
    <xf numFmtId="0" fontId="1" fillId="0" borderId="41" xfId="0" applyFont="1" applyBorder="1"/>
    <xf numFmtId="41" fontId="54" fillId="0" borderId="13" xfId="0" applyNumberFormat="1" applyFont="1" applyBorder="1"/>
    <xf numFmtId="3" fontId="54" fillId="0" borderId="42" xfId="0" applyNumberFormat="1" applyFont="1" applyBorder="1"/>
    <xf numFmtId="10" fontId="54" fillId="0" borderId="13" xfId="0" applyNumberFormat="1" applyFont="1" applyBorder="1"/>
    <xf numFmtId="0" fontId="54" fillId="0" borderId="20" xfId="0" applyFont="1" applyBorder="1"/>
    <xf numFmtId="170" fontId="54" fillId="0" borderId="39" xfId="0" applyNumberFormat="1" applyFont="1" applyBorder="1"/>
    <xf numFmtId="170" fontId="54" fillId="0" borderId="43" xfId="0" applyNumberFormat="1" applyFont="1" applyBorder="1"/>
    <xf numFmtId="0" fontId="1" fillId="0" borderId="44" xfId="0" applyFont="1" applyBorder="1"/>
    <xf numFmtId="0" fontId="54" fillId="0" borderId="45" xfId="0" applyFont="1" applyBorder="1"/>
    <xf numFmtId="170" fontId="54" fillId="0" borderId="46" xfId="0" applyNumberFormat="1" applyFont="1" applyBorder="1"/>
    <xf numFmtId="0" fontId="7" fillId="0" borderId="47" xfId="0" quotePrefix="1" applyFont="1" applyFill="1" applyBorder="1" applyAlignment="1">
      <alignment horizontal="left"/>
    </xf>
    <xf numFmtId="0" fontId="54" fillId="0" borderId="39" xfId="0" quotePrefix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horizontal="center"/>
    </xf>
    <xf numFmtId="0" fontId="7" fillId="30" borderId="0" xfId="0" applyFont="1" applyFill="1"/>
    <xf numFmtId="0" fontId="7" fillId="0" borderId="0" xfId="0" quotePrefix="1" applyFont="1" applyAlignment="1">
      <alignment horizontal="center" vertical="center"/>
    </xf>
    <xf numFmtId="171" fontId="7" fillId="0" borderId="18" xfId="0" applyNumberFormat="1" applyFont="1" applyFill="1" applyBorder="1"/>
    <xf numFmtId="170" fontId="54" fillId="27" borderId="14" xfId="0" applyNumberFormat="1" applyFont="1" applyFill="1" applyBorder="1"/>
    <xf numFmtId="0" fontId="0" fillId="0" borderId="24" xfId="0" applyBorder="1" applyAlignment="1">
      <alignment horizontal="center"/>
    </xf>
    <xf numFmtId="43" fontId="77" fillId="30" borderId="24" xfId="59" applyFont="1" applyFill="1" applyBorder="1" applyAlignment="1">
      <alignment horizontal="right"/>
    </xf>
    <xf numFmtId="43" fontId="77" fillId="30" borderId="25" xfId="59" applyFont="1" applyFill="1" applyBorder="1" applyAlignment="1">
      <alignment horizontal="center"/>
    </xf>
    <xf numFmtId="43" fontId="77" fillId="30" borderId="24" xfId="59" applyFont="1" applyFill="1" applyBorder="1"/>
    <xf numFmtId="43" fontId="1" fillId="30" borderId="24" xfId="59" applyFill="1" applyBorder="1"/>
    <xf numFmtId="43" fontId="0" fillId="0" borderId="24" xfId="59" applyFont="1" applyBorder="1"/>
    <xf numFmtId="43" fontId="77" fillId="30" borderId="25" xfId="59" applyFont="1" applyFill="1" applyBorder="1"/>
    <xf numFmtId="43" fontId="1" fillId="30" borderId="25" xfId="59" applyFill="1" applyBorder="1"/>
    <xf numFmtId="43" fontId="0" fillId="0" borderId="25" xfId="59" applyFont="1" applyBorder="1"/>
    <xf numFmtId="43" fontId="0" fillId="0" borderId="0" xfId="59" applyFont="1"/>
    <xf numFmtId="170" fontId="82" fillId="30" borderId="0" xfId="0" applyNumberFormat="1" applyFont="1" applyFill="1" applyBorder="1"/>
    <xf numFmtId="170" fontId="82" fillId="30" borderId="25" xfId="59" applyNumberFormat="1" applyFont="1" applyFill="1" applyBorder="1"/>
    <xf numFmtId="170" fontId="82" fillId="30" borderId="25" xfId="0" applyNumberFormat="1" applyFont="1" applyFill="1" applyBorder="1"/>
    <xf numFmtId="168" fontId="82" fillId="30" borderId="25" xfId="59" applyNumberFormat="1" applyFont="1" applyFill="1" applyBorder="1"/>
    <xf numFmtId="168" fontId="82" fillId="30" borderId="14" xfId="59" applyNumberFormat="1" applyFont="1" applyFill="1" applyBorder="1"/>
    <xf numFmtId="170" fontId="82" fillId="30" borderId="14" xfId="59" applyNumberFormat="1" applyFont="1" applyFill="1" applyBorder="1"/>
    <xf numFmtId="0" fontId="52" fillId="30" borderId="0" xfId="0" applyFont="1" applyFill="1" applyAlignment="1">
      <alignment horizontal="left"/>
    </xf>
    <xf numFmtId="170" fontId="82" fillId="30" borderId="24" xfId="0" applyNumberFormat="1" applyFont="1" applyFill="1" applyBorder="1"/>
    <xf numFmtId="0" fontId="7" fillId="0" borderId="22" xfId="0" applyFont="1" applyFill="1" applyBorder="1" applyAlignment="1">
      <alignment horizontal="left"/>
    </xf>
    <xf numFmtId="0" fontId="83" fillId="0" borderId="0" xfId="117" applyNumberFormat="1" applyFont="1" applyFill="1" applyBorder="1" applyAlignment="1" applyProtection="1">
      <protection locked="0"/>
    </xf>
    <xf numFmtId="0" fontId="83" fillId="0" borderId="0" xfId="0" applyFont="1" applyAlignment="1">
      <alignment horizontal="left"/>
    </xf>
    <xf numFmtId="0" fontId="84" fillId="0" borderId="0" xfId="117" applyNumberFormat="1" applyFont="1" applyFill="1" applyBorder="1" applyAlignment="1" applyProtection="1">
      <protection locked="0"/>
    </xf>
    <xf numFmtId="170" fontId="54" fillId="27" borderId="13" xfId="0" applyNumberFormat="1" applyFont="1" applyFill="1" applyBorder="1"/>
    <xf numFmtId="170" fontId="7" fillId="0" borderId="13" xfId="0" applyNumberFormat="1" applyFont="1" applyBorder="1"/>
    <xf numFmtId="171" fontId="7" fillId="0" borderId="13" xfId="0" applyNumberFormat="1" applyFont="1" applyBorder="1"/>
    <xf numFmtId="171" fontId="7" fillId="29" borderId="0" xfId="0" applyNumberFormat="1" applyFont="1" applyFill="1" applyBorder="1"/>
    <xf numFmtId="170" fontId="85" fillId="30" borderId="0" xfId="0" applyNumberFormat="1" applyFont="1" applyFill="1" applyBorder="1"/>
    <xf numFmtId="170" fontId="85" fillId="30" borderId="25" xfId="59" applyNumberFormat="1" applyFont="1" applyFill="1" applyBorder="1"/>
    <xf numFmtId="170" fontId="85" fillId="30" borderId="25" xfId="0" applyNumberFormat="1" applyFont="1" applyFill="1" applyBorder="1"/>
    <xf numFmtId="170" fontId="85" fillId="30" borderId="14" xfId="59" applyNumberFormat="1" applyFont="1" applyFill="1" applyBorder="1"/>
    <xf numFmtId="171" fontId="7" fillId="0" borderId="0" xfId="0" applyNumberFormat="1" applyFont="1" applyFill="1" applyBorder="1"/>
    <xf numFmtId="170" fontId="85" fillId="30" borderId="24" xfId="59" applyNumberFormat="1" applyFont="1" applyFill="1" applyBorder="1"/>
    <xf numFmtId="170" fontId="1" fillId="0" borderId="0" xfId="59" applyNumberFormat="1" applyBorder="1" applyAlignment="1">
      <alignment vertical="center"/>
    </xf>
    <xf numFmtId="170" fontId="1" fillId="0" borderId="0" xfId="59" applyNumberFormat="1" applyFont="1" applyBorder="1" applyAlignment="1">
      <alignment vertical="center"/>
    </xf>
    <xf numFmtId="170" fontId="39" fillId="0" borderId="0" xfId="59" applyNumberFormat="1" applyFont="1" applyBorder="1" applyAlignment="1">
      <alignment vertical="center"/>
    </xf>
    <xf numFmtId="0" fontId="7" fillId="0" borderId="0" xfId="0" applyFont="1" applyFill="1" applyAlignment="1"/>
    <xf numFmtId="170" fontId="82" fillId="30" borderId="24" xfId="59" applyNumberFormat="1" applyFont="1" applyFill="1" applyBorder="1"/>
    <xf numFmtId="170" fontId="7" fillId="0" borderId="0" xfId="0" applyNumberFormat="1" applyFont="1" applyAlignment="1">
      <alignment horizontal="left"/>
    </xf>
    <xf numFmtId="170" fontId="85" fillId="30" borderId="24" xfId="0" applyNumberFormat="1" applyFont="1" applyFill="1" applyBorder="1"/>
    <xf numFmtId="168" fontId="85" fillId="30" borderId="25" xfId="59" applyNumberFormat="1" applyFont="1" applyFill="1" applyBorder="1"/>
    <xf numFmtId="168" fontId="85" fillId="30" borderId="14" xfId="59" applyNumberFormat="1" applyFont="1" applyFill="1" applyBorder="1"/>
    <xf numFmtId="170" fontId="85" fillId="30" borderId="14" xfId="59" applyNumberFormat="1" applyFont="1" applyFill="1" applyBorder="1" applyAlignment="1">
      <alignment horizontal="right"/>
    </xf>
    <xf numFmtId="170" fontId="1" fillId="0" borderId="0" xfId="59" applyNumberFormat="1" applyFont="1" applyFill="1" applyBorder="1" applyAlignment="1">
      <alignment vertical="center"/>
    </xf>
    <xf numFmtId="170" fontId="1" fillId="0" borderId="0" xfId="59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0" fontId="64" fillId="27" borderId="0" xfId="59" applyNumberFormat="1" applyFont="1" applyFill="1" applyBorder="1" applyAlignment="1">
      <alignment vertical="center"/>
    </xf>
    <xf numFmtId="170" fontId="0" fillId="0" borderId="0" xfId="0" applyNumberFormat="1" applyBorder="1" applyAlignment="1">
      <alignment vertical="center"/>
    </xf>
    <xf numFmtId="177" fontId="1" fillId="0" borderId="0" xfId="59" applyNumberFormat="1"/>
    <xf numFmtId="170" fontId="64" fillId="30" borderId="0" xfId="59" applyNumberFormat="1" applyFont="1" applyFill="1" applyAlignment="1">
      <alignment vertical="center"/>
    </xf>
    <xf numFmtId="170" fontId="82" fillId="30" borderId="0" xfId="59" applyNumberFormat="1" applyFont="1" applyFill="1" applyBorder="1" applyAlignment="1">
      <alignment vertical="center"/>
    </xf>
    <xf numFmtId="170" fontId="7" fillId="0" borderId="14" xfId="59" quotePrefix="1" applyNumberFormat="1" applyFont="1" applyFill="1" applyBorder="1" applyAlignment="1">
      <alignment horizontal="right"/>
    </xf>
    <xf numFmtId="0" fontId="7" fillId="0" borderId="47" xfId="104" quotePrefix="1" applyFont="1" applyFill="1" applyBorder="1" applyAlignment="1">
      <alignment horizontal="left"/>
    </xf>
    <xf numFmtId="0" fontId="7" fillId="0" borderId="19" xfId="104" applyFont="1" applyFill="1" applyBorder="1"/>
    <xf numFmtId="0" fontId="47" fillId="0" borderId="0" xfId="0" applyFont="1" applyFill="1" applyAlignment="1">
      <alignment vertical="top"/>
    </xf>
    <xf numFmtId="170" fontId="7" fillId="0" borderId="26" xfId="0" applyNumberFormat="1" applyFont="1" applyFill="1" applyBorder="1"/>
    <xf numFmtId="10" fontId="7" fillId="0" borderId="0" xfId="0" applyNumberFormat="1" applyFont="1" applyFill="1"/>
    <xf numFmtId="170" fontId="7" fillId="30" borderId="0" xfId="0" applyNumberFormat="1" applyFont="1" applyFill="1" applyBorder="1"/>
    <xf numFmtId="170" fontId="7" fillId="30" borderId="25" xfId="0" applyNumberFormat="1" applyFont="1" applyFill="1" applyBorder="1"/>
    <xf numFmtId="170" fontId="7" fillId="30" borderId="14" xfId="59" applyNumberFormat="1" applyFont="1" applyFill="1" applyBorder="1"/>
    <xf numFmtId="170" fontId="7" fillId="30" borderId="24" xfId="59" applyNumberFormat="1" applyFont="1" applyFill="1" applyBorder="1"/>
    <xf numFmtId="0" fontId="7" fillId="0" borderId="14" xfId="0" applyFont="1" applyFill="1" applyBorder="1"/>
    <xf numFmtId="0" fontId="7" fillId="0" borderId="40" xfId="0" applyFont="1" applyFill="1" applyBorder="1"/>
    <xf numFmtId="0" fontId="7" fillId="0" borderId="41" xfId="0" applyFont="1" applyFill="1" applyBorder="1"/>
    <xf numFmtId="41" fontId="54" fillId="0" borderId="39" xfId="0" applyNumberFormat="1" applyFont="1" applyFill="1" applyBorder="1"/>
    <xf numFmtId="3" fontId="7" fillId="0" borderId="42" xfId="0" applyNumberFormat="1" applyFont="1" applyFill="1" applyBorder="1"/>
    <xf numFmtId="10" fontId="54" fillId="0" borderId="13" xfId="0" applyNumberFormat="1" applyFont="1" applyFill="1" applyBorder="1"/>
    <xf numFmtId="41" fontId="54" fillId="0" borderId="13" xfId="0" applyNumberFormat="1" applyFont="1" applyFill="1" applyBorder="1"/>
    <xf numFmtId="170" fontId="54" fillId="0" borderId="39" xfId="0" applyNumberFormat="1" applyFont="1" applyFill="1" applyBorder="1"/>
    <xf numFmtId="0" fontId="7" fillId="0" borderId="20" xfId="0" applyFont="1" applyFill="1" applyBorder="1"/>
    <xf numFmtId="170" fontId="54" fillId="0" borderId="43" xfId="0" applyNumberFormat="1" applyFont="1" applyFill="1" applyBorder="1"/>
    <xf numFmtId="0" fontId="7" fillId="0" borderId="45" xfId="0" applyFont="1" applyFill="1" applyBorder="1"/>
    <xf numFmtId="0" fontId="7" fillId="0" borderId="16" xfId="0" applyFont="1" applyFill="1" applyBorder="1"/>
    <xf numFmtId="43" fontId="7" fillId="0" borderId="24" xfId="0" applyNumberFormat="1" applyFont="1" applyBorder="1"/>
    <xf numFmtId="170" fontId="7" fillId="0" borderId="16" xfId="0" applyNumberFormat="1" applyFont="1" applyBorder="1"/>
    <xf numFmtId="170" fontId="7" fillId="0" borderId="0" xfId="0" applyNumberFormat="1" applyFont="1" applyFill="1" applyBorder="1"/>
    <xf numFmtId="170" fontId="7" fillId="0" borderId="24" xfId="59" applyNumberFormat="1" applyFont="1" applyFill="1" applyBorder="1"/>
    <xf numFmtId="0" fontId="54" fillId="27" borderId="0" xfId="0" applyFont="1" applyFill="1" applyAlignment="1">
      <alignment horizontal="left"/>
    </xf>
    <xf numFmtId="170" fontId="54" fillId="0" borderId="39" xfId="60" applyNumberFormat="1" applyFont="1" applyFill="1" applyBorder="1"/>
    <xf numFmtId="178" fontId="54" fillId="0" borderId="39" xfId="121" applyNumberFormat="1" applyFont="1" applyFill="1" applyBorder="1"/>
    <xf numFmtId="170" fontId="54" fillId="0" borderId="39" xfId="176" applyNumberFormat="1" applyFont="1" applyBorder="1"/>
    <xf numFmtId="170" fontId="87" fillId="27" borderId="0" xfId="177" applyNumberFormat="1" applyFont="1" applyFill="1" applyBorder="1" applyAlignment="1">
      <alignment vertical="center"/>
    </xf>
    <xf numFmtId="43" fontId="64" fillId="27" borderId="0" xfId="59" applyNumberFormat="1" applyFont="1" applyFill="1" applyAlignment="1">
      <alignment vertical="center"/>
    </xf>
    <xf numFmtId="0" fontId="39" fillId="0" borderId="11" xfId="0" applyFont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169" fontId="7" fillId="0" borderId="17" xfId="117" applyFont="1" applyBorder="1" applyAlignment="1" applyProtection="1">
      <alignment wrapText="1"/>
      <protection locked="0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106" applyFont="1" applyBorder="1" applyAlignment="1">
      <alignment horizontal="center"/>
    </xf>
    <xf numFmtId="0" fontId="6" fillId="0" borderId="0" xfId="106" quotePrefix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17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00A" xfId="26"/>
    <cellStyle name="C00B" xfId="27"/>
    <cellStyle name="C00L" xfId="28"/>
    <cellStyle name="C01A" xfId="29"/>
    <cellStyle name="C01B" xfId="30"/>
    <cellStyle name="C01H" xfId="31"/>
    <cellStyle name="C01L" xfId="32"/>
    <cellStyle name="C02A" xfId="33"/>
    <cellStyle name="C02B" xfId="34"/>
    <cellStyle name="C02H" xfId="35"/>
    <cellStyle name="C02L" xfId="36"/>
    <cellStyle name="C03A" xfId="37"/>
    <cellStyle name="C03B" xfId="38"/>
    <cellStyle name="C03H" xfId="39"/>
    <cellStyle name="C03L" xfId="40"/>
    <cellStyle name="C04A" xfId="41"/>
    <cellStyle name="C04B" xfId="42"/>
    <cellStyle name="C04H" xfId="43"/>
    <cellStyle name="C04L" xfId="44"/>
    <cellStyle name="C05A" xfId="45"/>
    <cellStyle name="C05B" xfId="46"/>
    <cellStyle name="C05H" xfId="47"/>
    <cellStyle name="C05L" xfId="48"/>
    <cellStyle name="C06A" xfId="49"/>
    <cellStyle name="C06B" xfId="50"/>
    <cellStyle name="C06H" xfId="51"/>
    <cellStyle name="C06L" xfId="52"/>
    <cellStyle name="C07A" xfId="53"/>
    <cellStyle name="C07B" xfId="54"/>
    <cellStyle name="C07H" xfId="55"/>
    <cellStyle name="C07L" xfId="56"/>
    <cellStyle name="Calculation" xfId="57" builtinId="22" customBuiltin="1"/>
    <cellStyle name="Check Cell" xfId="58" builtinId="23" customBuiltin="1"/>
    <cellStyle name="Comma" xfId="59" builtinId="3"/>
    <cellStyle name="Comma 128" xfId="177"/>
    <cellStyle name="Comma 2" xfId="60"/>
    <cellStyle name="Comma 2 2" xfId="61"/>
    <cellStyle name="Comma 2 3" xfId="62"/>
    <cellStyle name="Comma 2 3 2" xfId="63"/>
    <cellStyle name="Comma 3" xfId="64"/>
    <cellStyle name="Comma 3 2" xfId="65"/>
    <cellStyle name="Comma 3 3" xfId="66"/>
    <cellStyle name="Comma 3 3 2" xfId="67"/>
    <cellStyle name="Comma 3 4" xfId="68"/>
    <cellStyle name="Comma 3 5" xfId="69"/>
    <cellStyle name="Comma 4" xfId="70"/>
    <cellStyle name="Comma 5" xfId="71"/>
    <cellStyle name="Comma 5 2" xfId="72"/>
    <cellStyle name="Comma 6" xfId="73"/>
    <cellStyle name="Comma 7" xfId="74"/>
    <cellStyle name="Comma 76" xfId="176"/>
    <cellStyle name="Comma0" xfId="75"/>
    <cellStyle name="Currency" xfId="76" builtinId="4"/>
    <cellStyle name="Currency 2" xfId="77"/>
    <cellStyle name="Currency 2 2" xfId="78"/>
    <cellStyle name="Currency 3" xfId="79"/>
    <cellStyle name="Currency 3 2" xfId="80"/>
    <cellStyle name="Currency 3 3" xfId="81"/>
    <cellStyle name="Currency 3 3 2" xfId="82"/>
    <cellStyle name="Currency 3 4" xfId="83"/>
    <cellStyle name="Currency 3 5" xfId="84"/>
    <cellStyle name="Currency 4" xfId="85"/>
    <cellStyle name="Currency 4 10" xfId="86"/>
    <cellStyle name="Currency 4 2" xfId="87"/>
    <cellStyle name="Currency 5" xfId="88"/>
    <cellStyle name="Currency 6" xfId="89"/>
    <cellStyle name="Currency0" xfId="90"/>
    <cellStyle name="Date" xfId="91"/>
    <cellStyle name="Explanatory Text" xfId="92" builtinId="53" customBuiltin="1"/>
    <cellStyle name="Fixed" xfId="93"/>
    <cellStyle name="Good" xfId="94" builtinId="26" customBuiltin="1"/>
    <cellStyle name="Heading 1" xfId="95" builtinId="16" customBuiltin="1"/>
    <cellStyle name="Heading 2" xfId="96" builtinId="17" customBuiltin="1"/>
    <cellStyle name="Heading 3" xfId="97" builtinId="18" customBuiltin="1"/>
    <cellStyle name="Heading 4" xfId="98" builtinId="19" customBuiltin="1"/>
    <cellStyle name="Heading1" xfId="99"/>
    <cellStyle name="Heading2" xfId="100"/>
    <cellStyle name="Input" xfId="101" builtinId="20" customBuiltin="1"/>
    <cellStyle name="Linked Cell" xfId="102" builtinId="24" customBuiltin="1"/>
    <cellStyle name="Neutral" xfId="103" builtinId="28" customBuiltin="1"/>
    <cellStyle name="Normal" xfId="0" builtinId="0"/>
    <cellStyle name="Normal 2" xfId="104"/>
    <cellStyle name="Normal 3" xfId="105"/>
    <cellStyle name="Normal 3 2" xfId="106"/>
    <cellStyle name="Normal 3_OPCo Period I PJM  Formula Rate" xfId="107"/>
    <cellStyle name="Normal 35" xfId="108"/>
    <cellStyle name="Normal 4" xfId="109"/>
    <cellStyle name="Normal 4 2" xfId="110"/>
    <cellStyle name="Normal 4 3" xfId="111"/>
    <cellStyle name="Normal 4 3 2" xfId="112"/>
    <cellStyle name="Normal 4 4" xfId="113"/>
    <cellStyle name="Normal 4 5" xfId="114"/>
    <cellStyle name="Normal 5" xfId="115"/>
    <cellStyle name="Normal 6" xfId="116"/>
    <cellStyle name="Normal_FN1 Ratebase Draft SPP template (6-11-04) v2" xfId="117"/>
    <cellStyle name="Note" xfId="118" builtinId="10" customBuiltin="1"/>
    <cellStyle name="Output" xfId="119" builtinId="21" customBuiltin="1"/>
    <cellStyle name="Percent" xfId="120" builtinId="5"/>
    <cellStyle name="Percent 2" xfId="121"/>
    <cellStyle name="Percent 2 2" xfId="122"/>
    <cellStyle name="Percent 3" xfId="123"/>
    <cellStyle name="Percent 3 2" xfId="124"/>
    <cellStyle name="Percent 3 3" xfId="125"/>
    <cellStyle name="Percent 3 3 2" xfId="126"/>
    <cellStyle name="Percent 3 4" xfId="127"/>
    <cellStyle name="Percent 3 5" xfId="128"/>
    <cellStyle name="Percent 4" xfId="129"/>
    <cellStyle name="Percent 4 2" xfId="130"/>
    <cellStyle name="Percent 5" xfId="131"/>
    <cellStyle name="Percent 6" xfId="132"/>
    <cellStyle name="Percent 7 2" xfId="133"/>
    <cellStyle name="PSChar" xfId="134"/>
    <cellStyle name="PSDate" xfId="135"/>
    <cellStyle name="PSDec" xfId="136"/>
    <cellStyle name="PSdesc" xfId="137"/>
    <cellStyle name="PSHeading" xfId="138"/>
    <cellStyle name="PSInt" xfId="139"/>
    <cellStyle name="PSSpacer" xfId="140"/>
    <cellStyle name="PStest" xfId="141"/>
    <cellStyle name="R00A" xfId="142"/>
    <cellStyle name="R00B" xfId="143"/>
    <cellStyle name="R00L" xfId="144"/>
    <cellStyle name="R01A" xfId="145"/>
    <cellStyle name="R01B" xfId="146"/>
    <cellStyle name="R01H" xfId="147"/>
    <cellStyle name="R01L" xfId="148"/>
    <cellStyle name="R02A" xfId="149"/>
    <cellStyle name="R02B" xfId="150"/>
    <cellStyle name="R02H" xfId="151"/>
    <cellStyle name="R02L" xfId="152"/>
    <cellStyle name="R03A" xfId="153"/>
    <cellStyle name="R03B" xfId="154"/>
    <cellStyle name="R03H" xfId="155"/>
    <cellStyle name="R03L" xfId="156"/>
    <cellStyle name="R04A" xfId="157"/>
    <cellStyle name="R04B" xfId="158"/>
    <cellStyle name="R04H" xfId="159"/>
    <cellStyle name="R04L" xfId="160"/>
    <cellStyle name="R05A" xfId="161"/>
    <cellStyle name="R05B" xfId="162"/>
    <cellStyle name="R05H" xfId="163"/>
    <cellStyle name="R05L" xfId="164"/>
    <cellStyle name="R06A" xfId="165"/>
    <cellStyle name="R06B" xfId="166"/>
    <cellStyle name="R06H" xfId="167"/>
    <cellStyle name="R06L" xfId="168"/>
    <cellStyle name="R07A" xfId="169"/>
    <cellStyle name="R07B" xfId="170"/>
    <cellStyle name="R07H" xfId="171"/>
    <cellStyle name="R07L" xfId="172"/>
    <cellStyle name="Title" xfId="173" builtinId="15" customBuiltin="1"/>
    <cellStyle name="Total" xfId="174" builtinId="25" customBuiltin="1"/>
    <cellStyle name="Warning Text" xfId="175" builtinId="11" customBuiltin="1"/>
  </cellStyles>
  <dxfs count="59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426720</xdr:colOff>
      <xdr:row>28</xdr:row>
      <xdr:rowOff>121920</xdr:rowOff>
    </xdr:from>
    <xdr:to>
      <xdr:col>4</xdr:col>
      <xdr:colOff>510540</xdr:colOff>
      <xdr:row>30</xdr:row>
      <xdr:rowOff>1270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4015740" y="5501640"/>
          <a:ext cx="8382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0895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1921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3967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4991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27036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28005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29026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29997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31021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38064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39088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40112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41136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43098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44122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45146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49182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50206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cing\dbw\SWPP%20Form%20Rate\Lila%20added\AEP%20SPP%20For%20Rate%20Proj%20w%2013%20mth%20rate%20base%20june-07%20-%20June-08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P%20SPP%20Trans%20Formula%20Rates%20PSO%20SWE%20OKT%20SWT/2017%20Annual%20Update/22%202017%20PSO%20WS%20F%20&amp;%20G%205-22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O.Sch.11.Rates"/>
      <sheetName val="PSO.WS.F.BPU.ATRR.Projected"/>
      <sheetName val="PSO.WS.G.BPU.ATRR.True-up"/>
      <sheetName val="P.001"/>
      <sheetName val="P.002"/>
      <sheetName val="P.003"/>
      <sheetName val="P.004"/>
      <sheetName val="P.005"/>
      <sheetName val="P.006"/>
      <sheetName val="P.007"/>
      <sheetName val="P.008"/>
      <sheetName val="P.009"/>
      <sheetName val="P.010"/>
      <sheetName val="P.011"/>
      <sheetName val="P.012"/>
      <sheetName val="P.013"/>
      <sheetName val="P.014"/>
      <sheetName val="P.015"/>
      <sheetName val="P.016"/>
      <sheetName val="P.017"/>
      <sheetName val="P.018"/>
      <sheetName val="P.019"/>
      <sheetName val="P.020"/>
      <sheetName val="P.021"/>
      <sheetName val="P.022"/>
      <sheetName val="P.xyz - blank"/>
    </sheetNames>
    <sheetDataSet>
      <sheetData sheetId="0">
        <row r="18">
          <cell r="J18">
            <v>126198.40170191442</v>
          </cell>
          <cell r="T18">
            <v>108625.01299372003</v>
          </cell>
        </row>
        <row r="19">
          <cell r="T19">
            <v>569388.84775874717</v>
          </cell>
        </row>
        <row r="20">
          <cell r="T20">
            <v>1395039.9625301256</v>
          </cell>
        </row>
        <row r="21">
          <cell r="T21">
            <v>1732228.8785758351</v>
          </cell>
        </row>
        <row r="22">
          <cell r="T22">
            <v>44547.239416088021</v>
          </cell>
        </row>
        <row r="23">
          <cell r="T23">
            <v>181020.31875576088</v>
          </cell>
        </row>
        <row r="24">
          <cell r="T24">
            <v>9985.5707648746993</v>
          </cell>
        </row>
        <row r="25">
          <cell r="T25">
            <v>6524.37805957814</v>
          </cell>
        </row>
        <row r="26">
          <cell r="T26">
            <v>8592.0177739245883</v>
          </cell>
        </row>
        <row r="27">
          <cell r="T27">
            <v>11953.671063657495</v>
          </cell>
        </row>
        <row r="28">
          <cell r="T28">
            <v>176532.23661201712</v>
          </cell>
        </row>
        <row r="29">
          <cell r="T29">
            <v>427588.99111547321</v>
          </cell>
        </row>
        <row r="30">
          <cell r="T30">
            <v>2835.0626886637419</v>
          </cell>
        </row>
        <row r="31">
          <cell r="T31">
            <v>167052.78917425824</v>
          </cell>
        </row>
        <row r="32">
          <cell r="T32">
            <v>297530.17806103436</v>
          </cell>
        </row>
        <row r="33">
          <cell r="T33">
            <v>678593.08635191945</v>
          </cell>
        </row>
        <row r="34">
          <cell r="T34">
            <v>221275.2825759374</v>
          </cell>
        </row>
        <row r="35">
          <cell r="T35">
            <v>231623.84366798078</v>
          </cell>
        </row>
        <row r="36">
          <cell r="T36">
            <v>105641.6474528401</v>
          </cell>
        </row>
        <row r="37">
          <cell r="T37">
            <v>30733.448112177342</v>
          </cell>
        </row>
        <row r="38">
          <cell r="T38">
            <v>19337.763747649027</v>
          </cell>
        </row>
        <row r="39">
          <cell r="T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7"/>
  <sheetViews>
    <sheetView tabSelected="1" zoomScale="90" zoomScaleNormal="90" zoomScaleSheetLayoutView="75" workbookViewId="0">
      <selection activeCell="C6" sqref="C6"/>
    </sheetView>
  </sheetViews>
  <sheetFormatPr defaultRowHeight="12.75" customHeight="1"/>
  <cols>
    <col min="1" max="1" width="7.42578125" customWidth="1"/>
    <col min="2" max="2" width="7" bestFit="1" customWidth="1"/>
    <col min="3" max="3" width="43.140625" customWidth="1"/>
    <col min="4" max="4" width="9.5703125" customWidth="1"/>
    <col min="5" max="5" width="12.5703125" customWidth="1"/>
    <col min="6" max="6" width="12.7109375" customWidth="1"/>
    <col min="7" max="7" width="14.85546875" customWidth="1"/>
    <col min="8" max="8" width="2.85546875" customWidth="1"/>
    <col min="9" max="9" width="15.42578125" customWidth="1"/>
    <col min="10" max="10" width="15.85546875" customWidth="1"/>
    <col min="11" max="11" width="14" customWidth="1"/>
    <col min="12" max="12" width="15.28515625" customWidth="1"/>
    <col min="13" max="13" width="2.42578125" customWidth="1"/>
    <col min="14" max="14" width="6.140625" customWidth="1"/>
    <col min="15" max="15" width="8.7109375" customWidth="1"/>
    <col min="16" max="17" width="10.7109375" customWidth="1"/>
    <col min="18" max="18" width="18.7109375" customWidth="1"/>
    <col min="19" max="19" width="2.42578125" customWidth="1"/>
    <col min="20" max="20" width="19.140625" customWidth="1"/>
    <col min="21" max="21" width="9.140625" customWidth="1"/>
    <col min="22" max="22" width="13.85546875" customWidth="1"/>
    <col min="23" max="26" width="9.140625" customWidth="1"/>
    <col min="28" max="28" width="12.140625" customWidth="1"/>
  </cols>
  <sheetData>
    <row r="1" spans="1:28" ht="15">
      <c r="H1" s="274" t="s">
        <v>152</v>
      </c>
      <c r="U1">
        <v>2019</v>
      </c>
    </row>
    <row r="2" spans="1:28" ht="15">
      <c r="H2" s="305" t="s">
        <v>183</v>
      </c>
    </row>
    <row r="3" spans="1:28" ht="15">
      <c r="H3" s="275" t="str">
        <f>"For Calendar Year "&amp;U1-1&amp;" and Projected Year "&amp;U1</f>
        <v>For Calendar Year 2018 and Projected Year 2019</v>
      </c>
    </row>
    <row r="4" spans="1:28" ht="15">
      <c r="H4" s="276"/>
    </row>
    <row r="5" spans="1:28" ht="15.75">
      <c r="H5" s="277" t="s">
        <v>153</v>
      </c>
    </row>
    <row r="7" spans="1:28" ht="18">
      <c r="C7" s="273"/>
      <c r="E7" s="273"/>
      <c r="F7" s="273"/>
      <c r="G7" s="273"/>
      <c r="H7" s="273" t="s">
        <v>119</v>
      </c>
      <c r="I7" s="273"/>
      <c r="J7" s="273"/>
      <c r="K7" s="273"/>
      <c r="L7" s="273"/>
    </row>
    <row r="8" spans="1:28">
      <c r="D8" s="107"/>
    </row>
    <row r="9" spans="1:28">
      <c r="A9" t="s">
        <v>250</v>
      </c>
    </row>
    <row r="12" spans="1:28" ht="22.5" customHeight="1">
      <c r="A12" s="290" t="s">
        <v>154</v>
      </c>
      <c r="B12" s="290" t="s">
        <v>155</v>
      </c>
      <c r="C12" s="356" t="s">
        <v>156</v>
      </c>
      <c r="D12" s="290" t="s">
        <v>157</v>
      </c>
      <c r="E12" s="290" t="s">
        <v>158</v>
      </c>
      <c r="F12" s="290" t="s">
        <v>159</v>
      </c>
      <c r="G12" s="290" t="str">
        <f>"(G) = "&amp;E12&amp;" + "&amp;F12</f>
        <v>(G) = (E) + (F)</v>
      </c>
      <c r="H12" s="290"/>
      <c r="I12" s="290" t="s">
        <v>160</v>
      </c>
      <c r="J12" s="290" t="s">
        <v>161</v>
      </c>
      <c r="K12" s="357" t="s">
        <v>189</v>
      </c>
      <c r="L12" s="290" t="str">
        <f>"(K) = "&amp;J12&amp;" - "&amp;K12</f>
        <v>(K) = (I) - (J)</v>
      </c>
      <c r="M12" s="290"/>
      <c r="N12" s="290" t="s">
        <v>190</v>
      </c>
      <c r="O12" s="290" t="s">
        <v>162</v>
      </c>
      <c r="P12" s="290" t="str">
        <f>"(N) = "&amp;N12&amp;"-"&amp;O12</f>
        <v>(N) = (L)-(M)</v>
      </c>
      <c r="Q12" s="290" t="s">
        <v>191</v>
      </c>
      <c r="R12" s="290" t="str">
        <f>"(P) = "&amp;I12&amp;"+"&amp;LEFT(L12,3)&amp;"+"&amp;LEFT(P12,3)&amp;"+"&amp;Q12</f>
        <v>(P) = (H)+(K)+(N)+(O)</v>
      </c>
      <c r="S12" s="290"/>
      <c r="T12" s="290" t="str">
        <f>"(Q) = "&amp;LEFT(G12,3)&amp;" + "&amp;LEFT(R12,3)</f>
        <v>(Q) = (G) + (P)</v>
      </c>
      <c r="U12" s="290"/>
      <c r="V12" s="291"/>
      <c r="W12" s="291"/>
      <c r="X12" s="291"/>
      <c r="Y12" s="291"/>
      <c r="Z12" s="291"/>
      <c r="AA12" s="291"/>
      <c r="AB12" s="291"/>
    </row>
    <row r="13" spans="1:28" ht="16.5" customHeight="1">
      <c r="A13" s="9"/>
      <c r="B13" s="9"/>
      <c r="C13" s="9"/>
      <c r="D13" s="9"/>
      <c r="E13" s="492" t="str">
        <f>"Projected ARR For "&amp;U1&amp;" From WS-F"</f>
        <v>Projected ARR For 2019 From WS-F</v>
      </c>
      <c r="F13" s="492"/>
      <c r="G13" s="492"/>
      <c r="H13" s="9"/>
      <c r="I13" s="286" t="s">
        <v>344</v>
      </c>
      <c r="J13" s="286"/>
      <c r="K13" s="286"/>
      <c r="L13" s="286"/>
      <c r="M13" s="286"/>
      <c r="N13" s="286"/>
      <c r="O13" s="286"/>
      <c r="P13" s="286"/>
      <c r="Q13" s="286"/>
      <c r="R13" s="330"/>
      <c r="S13" s="9"/>
      <c r="T13" s="9"/>
      <c r="U13" s="9"/>
    </row>
    <row r="14" spans="1:28" ht="18" customHeight="1">
      <c r="I14" s="352"/>
      <c r="T14" s="493" t="str">
        <f>"Total ADJUSTED Revenue Requirement Effective
1/1/"&amp;U1&amp;""</f>
        <v>Total ADJUSTED Revenue Requirement Effective
1/1/2019</v>
      </c>
    </row>
    <row r="15" spans="1:28" ht="18" customHeight="1" thickBot="1">
      <c r="D15" s="9"/>
      <c r="E15" s="278"/>
      <c r="F15" s="278"/>
      <c r="G15" s="278"/>
      <c r="I15" s="286" t="s">
        <v>163</v>
      </c>
      <c r="J15" s="329"/>
      <c r="K15" s="329"/>
      <c r="L15" s="329"/>
      <c r="M15" s="285"/>
      <c r="N15" s="286" t="s">
        <v>188</v>
      </c>
      <c r="O15" s="328"/>
      <c r="P15" s="328"/>
      <c r="Q15" s="287"/>
      <c r="T15" s="493"/>
    </row>
    <row r="16" spans="1:28" ht="69" customHeight="1">
      <c r="A16" s="288" t="s">
        <v>173</v>
      </c>
      <c r="B16" s="279" t="s">
        <v>164</v>
      </c>
      <c r="C16" s="279" t="s">
        <v>126</v>
      </c>
      <c r="D16" s="289" t="s">
        <v>165</v>
      </c>
      <c r="E16" s="323" t="s">
        <v>187</v>
      </c>
      <c r="F16" s="280" t="s">
        <v>166</v>
      </c>
      <c r="G16" s="280" t="s">
        <v>167</v>
      </c>
      <c r="I16" s="284" t="s">
        <v>334</v>
      </c>
      <c r="J16" s="284" t="s">
        <v>333</v>
      </c>
      <c r="K16" s="284" t="s">
        <v>335</v>
      </c>
      <c r="L16" s="284" t="s">
        <v>337</v>
      </c>
      <c r="M16" s="284"/>
      <c r="N16" s="321" t="s">
        <v>168</v>
      </c>
      <c r="O16" s="321" t="s">
        <v>169</v>
      </c>
      <c r="P16" s="281" t="s">
        <v>170</v>
      </c>
      <c r="Q16" s="321" t="s">
        <v>336</v>
      </c>
      <c r="R16" s="323" t="s">
        <v>211</v>
      </c>
      <c r="T16" s="493"/>
      <c r="V16" s="332" t="s">
        <v>192</v>
      </c>
    </row>
    <row r="17" spans="1:28">
      <c r="B17" s="9"/>
      <c r="C17" s="9"/>
      <c r="E17" s="49"/>
      <c r="F17" s="49"/>
      <c r="G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T17" s="49"/>
      <c r="V17" s="331"/>
    </row>
    <row r="18" spans="1:28">
      <c r="A18" s="290" t="s">
        <v>172</v>
      </c>
      <c r="B18" s="290" t="s">
        <v>112</v>
      </c>
      <c r="C18" s="301" t="str">
        <f t="shared" ref="C18:F44" ca="1" si="0">INDIRECT("'"&amp; $A18 &amp; "'!" &amp;C$54)</f>
        <v>Riverside-Glenpool (81-523) Reconductor</v>
      </c>
      <c r="D18" s="292">
        <f t="shared" ca="1" si="0"/>
        <v>2009</v>
      </c>
      <c r="E18" s="324">
        <f t="shared" ca="1" si="0"/>
        <v>105133.16356955816</v>
      </c>
      <c r="F18" s="325">
        <f t="shared" ca="1" si="0"/>
        <v>0</v>
      </c>
      <c r="G18" s="325">
        <f t="shared" ref="G18:G27" ca="1" si="1">+E18+F18</f>
        <v>105133.16356955816</v>
      </c>
      <c r="H18" s="326"/>
      <c r="I18" s="324">
        <f ca="1">INDIRECT("'"&amp; $A18 &amp; "'!" &amp;I$54)</f>
        <v>167.00057376724726</v>
      </c>
      <c r="J18" s="458">
        <f>+[2]PSO.Sch.11.Rates!T18</f>
        <v>108625.01299372003</v>
      </c>
      <c r="K18" s="293">
        <f>J18/J$47*K$47</f>
        <v>107849.73557778911</v>
      </c>
      <c r="L18" s="324">
        <f t="shared" ref="L18:L27" si="2">+J18-K18</f>
        <v>775.27741593091923</v>
      </c>
      <c r="M18" s="324"/>
      <c r="N18" s="325">
        <v>0</v>
      </c>
      <c r="O18" s="325">
        <v>0</v>
      </c>
      <c r="P18" s="325">
        <f t="shared" ref="P18:P26" si="3">+N18-O18</f>
        <v>0</v>
      </c>
      <c r="Q18" s="324">
        <f ca="1">+V18/$V$47 * $Q$47</f>
        <v>627.90669471661442</v>
      </c>
      <c r="R18" s="294">
        <f t="shared" ref="R18:R27" ca="1" si="4">I18+L18+P18+Q18</f>
        <v>1570.1846844147808</v>
      </c>
      <c r="S18" s="294"/>
      <c r="T18" s="295">
        <f t="shared" ref="T18:T27" ca="1" si="5">+G18+R18</f>
        <v>106703.34825397294</v>
      </c>
      <c r="V18" s="360">
        <f t="shared" ref="V18:V27" ca="1" si="6">+I18+L18+P18</f>
        <v>942.27798969816649</v>
      </c>
      <c r="W18" s="291" t="str">
        <f>A18</f>
        <v>P.001</v>
      </c>
      <c r="AB18" s="365"/>
    </row>
    <row r="19" spans="1:28" ht="25.5">
      <c r="A19" s="290" t="s">
        <v>174</v>
      </c>
      <c r="B19" s="290" t="s">
        <v>112</v>
      </c>
      <c r="C19" s="301" t="str">
        <f t="shared" ca="1" si="0"/>
        <v>Craig Jct. to Broken Bow Dam 138 Rebuild (7.7mi)</v>
      </c>
      <c r="D19" s="292">
        <f t="shared" ca="1" si="0"/>
        <v>2009</v>
      </c>
      <c r="E19" s="324">
        <f t="shared" ca="1" si="0"/>
        <v>546224.37932435388</v>
      </c>
      <c r="F19" s="325">
        <f t="shared" ca="1" si="0"/>
        <v>0</v>
      </c>
      <c r="G19" s="325">
        <f t="shared" ca="1" si="1"/>
        <v>546224.37932435388</v>
      </c>
      <c r="H19" s="326"/>
      <c r="I19" s="324">
        <f t="shared" ref="I19:I44" ca="1" si="7">INDIRECT("'"&amp; $A19 &amp; "'!" &amp;I$54)</f>
        <v>5769.4689972528722</v>
      </c>
      <c r="J19" s="458">
        <f>+[2]PSO.Sch.11.Rates!T19</f>
        <v>569388.84775874717</v>
      </c>
      <c r="K19" s="293">
        <f t="shared" ref="K19:K35" si="8">J19/J$47*K$47</f>
        <v>565325.01105682843</v>
      </c>
      <c r="L19" s="324">
        <f t="shared" si="2"/>
        <v>4063.8367019187426</v>
      </c>
      <c r="M19" s="324"/>
      <c r="N19" s="325">
        <v>0</v>
      </c>
      <c r="O19" s="325">
        <v>0</v>
      </c>
      <c r="P19" s="325">
        <f t="shared" si="3"/>
        <v>0</v>
      </c>
      <c r="Q19" s="324">
        <f t="shared" ref="Q19:Q44" ca="1" si="9">+V19/$V$47 * $Q$47</f>
        <v>6552.6294227489052</v>
      </c>
      <c r="R19" s="294">
        <f t="shared" ca="1" si="4"/>
        <v>16385.93512192052</v>
      </c>
      <c r="S19" s="294"/>
      <c r="T19" s="296">
        <f t="shared" ca="1" si="5"/>
        <v>562610.31444627442</v>
      </c>
      <c r="V19" s="360">
        <f t="shared" ca="1" si="6"/>
        <v>9833.3056991716148</v>
      </c>
      <c r="W19" s="291" t="str">
        <f t="shared" ref="W19:W25" si="10">A19</f>
        <v>P.002</v>
      </c>
      <c r="AB19" s="365"/>
    </row>
    <row r="20" spans="1:28" ht="25.5">
      <c r="A20" s="290" t="s">
        <v>175</v>
      </c>
      <c r="B20" s="290" t="s">
        <v>112</v>
      </c>
      <c r="C20" s="302" t="str">
        <f t="shared" ca="1" si="0"/>
        <v>WFEC New 138 kV Ties: Sayre to Erick (WFEC) Line &amp; Atoka and Tupelo station work</v>
      </c>
      <c r="D20" s="292">
        <f t="shared" ca="1" si="0"/>
        <v>2009</v>
      </c>
      <c r="E20" s="324">
        <f t="shared" ca="1" si="0"/>
        <v>1343522.1856703926</v>
      </c>
      <c r="F20" s="325">
        <f t="shared" ca="1" si="0"/>
        <v>0</v>
      </c>
      <c r="G20" s="325">
        <f t="shared" ca="1" si="1"/>
        <v>1343522.1856703926</v>
      </c>
      <c r="H20" s="326"/>
      <c r="I20" s="324">
        <f t="shared" ca="1" si="7"/>
        <v>8501.0797525143716</v>
      </c>
      <c r="J20" s="458">
        <f>+[2]PSO.Sch.11.Rates!T20</f>
        <v>1395039.9625301256</v>
      </c>
      <c r="K20" s="293">
        <f t="shared" si="8"/>
        <v>1385083.2964965552</v>
      </c>
      <c r="L20" s="324">
        <f t="shared" si="2"/>
        <v>9956.6660335704219</v>
      </c>
      <c r="M20" s="324"/>
      <c r="N20" s="325">
        <v>0</v>
      </c>
      <c r="O20" s="325">
        <v>0</v>
      </c>
      <c r="P20" s="325">
        <f t="shared" si="3"/>
        <v>0</v>
      </c>
      <c r="Q20" s="324">
        <f t="shared" ca="1" si="9"/>
        <v>12299.705899076007</v>
      </c>
      <c r="R20" s="294">
        <f t="shared" ca="1" si="4"/>
        <v>30757.451685160799</v>
      </c>
      <c r="S20" s="294"/>
      <c r="T20" s="296">
        <f t="shared" ca="1" si="5"/>
        <v>1374279.6373555535</v>
      </c>
      <c r="V20" s="360">
        <f t="shared" ca="1" si="6"/>
        <v>18457.745786084794</v>
      </c>
      <c r="W20" s="291" t="str">
        <f t="shared" si="10"/>
        <v>P.003</v>
      </c>
      <c r="AB20" s="365"/>
    </row>
    <row r="21" spans="1:28" ht="25.5">
      <c r="A21" s="290" t="s">
        <v>176</v>
      </c>
      <c r="B21" s="290" t="s">
        <v>112</v>
      </c>
      <c r="C21" s="302" t="str">
        <f t="shared" ca="1" si="0"/>
        <v>Cache-Snyder to Altus Jct. 138 kV line (w/2 ring bus stations)</v>
      </c>
      <c r="D21" s="292">
        <f t="shared" ca="1" si="0"/>
        <v>2008</v>
      </c>
      <c r="E21" s="324">
        <f t="shared" ca="1" si="0"/>
        <v>1679393.8300905449</v>
      </c>
      <c r="F21" s="325">
        <f t="shared" ca="1" si="0"/>
        <v>0</v>
      </c>
      <c r="G21" s="325">
        <f t="shared" ca="1" si="1"/>
        <v>1679393.8300905449</v>
      </c>
      <c r="H21" s="326"/>
      <c r="I21" s="324">
        <f t="shared" ca="1" si="7"/>
        <v>-1994.2173913042061</v>
      </c>
      <c r="J21" s="458">
        <f>+[2]PSO.Sch.11.Rates!T21</f>
        <v>1732228.8785758351</v>
      </c>
      <c r="K21" s="293">
        <f t="shared" si="8"/>
        <v>1719865.6309980345</v>
      </c>
      <c r="L21" s="324">
        <f t="shared" si="2"/>
        <v>12363.247577800648</v>
      </c>
      <c r="M21" s="324"/>
      <c r="N21" s="325">
        <v>0</v>
      </c>
      <c r="O21" s="325">
        <v>0</v>
      </c>
      <c r="P21" s="325">
        <f t="shared" si="3"/>
        <v>0</v>
      </c>
      <c r="Q21" s="324">
        <f t="shared" ca="1" si="9"/>
        <v>6909.6206671508226</v>
      </c>
      <c r="R21" s="294">
        <f t="shared" ca="1" si="4"/>
        <v>17278.650853647265</v>
      </c>
      <c r="S21" s="294"/>
      <c r="T21" s="296">
        <f t="shared" ca="1" si="5"/>
        <v>1696672.480944192</v>
      </c>
      <c r="V21" s="360">
        <f t="shared" ca="1" si="6"/>
        <v>10369.030186496442</v>
      </c>
      <c r="W21" s="291" t="str">
        <f t="shared" si="10"/>
        <v>P.004</v>
      </c>
      <c r="AB21" s="365"/>
    </row>
    <row r="22" spans="1:28">
      <c r="A22" s="357" t="s">
        <v>177</v>
      </c>
      <c r="B22" s="290" t="s">
        <v>112</v>
      </c>
      <c r="C22" s="302" t="str">
        <f t="shared" ca="1" si="0"/>
        <v>Catoosa 138 kV Device (Cap. Bank)</v>
      </c>
      <c r="D22" s="292">
        <f t="shared" ca="1" si="0"/>
        <v>2006</v>
      </c>
      <c r="E22" s="324">
        <f t="shared" ca="1" si="0"/>
        <v>42836.084122474029</v>
      </c>
      <c r="F22" s="325">
        <f t="shared" ca="1" si="0"/>
        <v>0</v>
      </c>
      <c r="G22" s="325">
        <f t="shared" ca="1" si="1"/>
        <v>42836.084122474029</v>
      </c>
      <c r="H22" s="326"/>
      <c r="I22" s="324">
        <f t="shared" ca="1" si="7"/>
        <v>316.90142338225269</v>
      </c>
      <c r="J22" s="458">
        <f>+[2]PSO.Sch.11.Rates!T22</f>
        <v>44547.239416088021</v>
      </c>
      <c r="K22" s="293">
        <f t="shared" si="8"/>
        <v>44229.297280022576</v>
      </c>
      <c r="L22" s="324">
        <f t="shared" si="2"/>
        <v>317.94213606544508</v>
      </c>
      <c r="M22" s="324"/>
      <c r="N22" s="325">
        <v>0</v>
      </c>
      <c r="O22" s="325">
        <v>0</v>
      </c>
      <c r="P22" s="325">
        <f t="shared" si="3"/>
        <v>0</v>
      </c>
      <c r="Q22" s="324">
        <f t="shared" ca="1" si="9"/>
        <v>423.04131629204505</v>
      </c>
      <c r="R22" s="294">
        <f t="shared" ca="1" si="4"/>
        <v>1057.8848757397427</v>
      </c>
      <c r="S22" s="294"/>
      <c r="T22" s="296">
        <f t="shared" ca="1" si="5"/>
        <v>43893.968998213772</v>
      </c>
      <c r="V22" s="360">
        <f t="shared" ca="1" si="6"/>
        <v>634.84355944769777</v>
      </c>
      <c r="W22" s="291" t="str">
        <f t="shared" si="10"/>
        <v>P.005</v>
      </c>
      <c r="AB22" s="365"/>
    </row>
    <row r="23" spans="1:28">
      <c r="A23" s="290" t="s">
        <v>178</v>
      </c>
      <c r="B23" s="290" t="s">
        <v>112</v>
      </c>
      <c r="C23" s="302" t="str">
        <f t="shared" ca="1" si="0"/>
        <v>Pryor Junction 138/69 Upgrade Transf</v>
      </c>
      <c r="D23" s="292">
        <f t="shared" ca="1" si="0"/>
        <v>2008</v>
      </c>
      <c r="E23" s="324">
        <f t="shared" ca="1" si="0"/>
        <v>174400.29611759563</v>
      </c>
      <c r="F23" s="325">
        <f t="shared" ca="1" si="0"/>
        <v>0</v>
      </c>
      <c r="G23" s="325">
        <f t="shared" ca="1" si="1"/>
        <v>174400.29611759563</v>
      </c>
      <c r="H23" s="326"/>
      <c r="I23" s="324">
        <f t="shared" ca="1" si="7"/>
        <v>1037.884497675579</v>
      </c>
      <c r="J23" s="458">
        <f>+[2]PSO.Sch.11.Rates!T23</f>
        <v>181020.31875576088</v>
      </c>
      <c r="K23" s="293">
        <f t="shared" si="8"/>
        <v>179728.34224788169</v>
      </c>
      <c r="L23" s="324">
        <f t="shared" si="2"/>
        <v>1291.9765078791825</v>
      </c>
      <c r="M23" s="324"/>
      <c r="N23" s="325">
        <v>0</v>
      </c>
      <c r="O23" s="325">
        <v>0</v>
      </c>
      <c r="P23" s="325">
        <f t="shared" si="3"/>
        <v>0</v>
      </c>
      <c r="Q23" s="324">
        <f t="shared" ca="1" si="9"/>
        <v>1552.551730106346</v>
      </c>
      <c r="R23" s="294">
        <f t="shared" ca="1" si="4"/>
        <v>3882.4127356611075</v>
      </c>
      <c r="S23" s="294"/>
      <c r="T23" s="296">
        <f t="shared" ca="1" si="5"/>
        <v>178282.70885325674</v>
      </c>
      <c r="V23" s="360">
        <f t="shared" ca="1" si="6"/>
        <v>2329.8610055547615</v>
      </c>
      <c r="W23" s="291" t="str">
        <f t="shared" si="10"/>
        <v>P.006</v>
      </c>
      <c r="AB23" s="365"/>
    </row>
    <row r="24" spans="1:28">
      <c r="A24" s="290" t="s">
        <v>179</v>
      </c>
      <c r="B24" s="290" t="s">
        <v>112</v>
      </c>
      <c r="C24" s="302" t="str">
        <f t="shared" ca="1" si="0"/>
        <v>Elk City - Elk City 69 kV line (CT Upgrades)*</v>
      </c>
      <c r="D24" s="292">
        <f t="shared" ca="1" si="0"/>
        <v>2007</v>
      </c>
      <c r="E24" s="324">
        <f t="shared" ca="1" si="0"/>
        <v>9641.8875876125348</v>
      </c>
      <c r="F24" s="325">
        <f t="shared" ca="1" si="0"/>
        <v>0</v>
      </c>
      <c r="G24" s="325">
        <f t="shared" ca="1" si="1"/>
        <v>9641.8875876125348</v>
      </c>
      <c r="H24" s="326"/>
      <c r="I24" s="324">
        <f t="shared" ca="1" si="7"/>
        <v>36.252533591939937</v>
      </c>
      <c r="J24" s="458">
        <f>+[2]PSO.Sch.11.Rates!T24</f>
        <v>9985.5707648746993</v>
      </c>
      <c r="K24" s="293">
        <f t="shared" si="8"/>
        <v>9914.3018436029961</v>
      </c>
      <c r="L24" s="324">
        <f t="shared" si="2"/>
        <v>71.268921271703221</v>
      </c>
      <c r="M24" s="324"/>
      <c r="N24" s="325">
        <v>0</v>
      </c>
      <c r="O24" s="325">
        <v>0</v>
      </c>
      <c r="P24" s="325">
        <f t="shared" si="3"/>
        <v>0</v>
      </c>
      <c r="Q24" s="324">
        <f t="shared" ca="1" si="9"/>
        <v>71.649175798086873</v>
      </c>
      <c r="R24" s="294">
        <f t="shared" ca="1" si="4"/>
        <v>179.17063066173003</v>
      </c>
      <c r="S24" s="364" t="s">
        <v>214</v>
      </c>
      <c r="T24" s="296">
        <f t="shared" ca="1" si="5"/>
        <v>9821.0582182742655</v>
      </c>
      <c r="V24" s="360">
        <f t="shared" ca="1" si="6"/>
        <v>107.52145486364316</v>
      </c>
      <c r="W24" s="291" t="str">
        <f t="shared" si="10"/>
        <v>P.007</v>
      </c>
      <c r="AB24" s="365"/>
    </row>
    <row r="25" spans="1:28" ht="25.5">
      <c r="A25" s="290" t="s">
        <v>180</v>
      </c>
      <c r="B25" s="290" t="s">
        <v>112</v>
      </c>
      <c r="C25" s="302" t="str">
        <f t="shared" ca="1" si="0"/>
        <v>Weleetka &amp; Okmulgee Wavetrap replacement 81-805*</v>
      </c>
      <c r="D25" s="292">
        <f t="shared" ca="1" si="0"/>
        <v>2006</v>
      </c>
      <c r="E25" s="324">
        <f t="shared" ca="1" si="0"/>
        <v>6208.7809286346592</v>
      </c>
      <c r="F25" s="325">
        <f t="shared" ca="1" si="0"/>
        <v>0</v>
      </c>
      <c r="G25" s="325">
        <f t="shared" ca="1" si="1"/>
        <v>6208.7809286346592</v>
      </c>
      <c r="H25" s="326"/>
      <c r="I25" s="324">
        <f t="shared" ca="1" si="7"/>
        <v>112.90230468980644</v>
      </c>
      <c r="J25" s="458">
        <f>+[2]PSO.Sch.11.Rates!T25</f>
        <v>6524.37805957814</v>
      </c>
      <c r="K25" s="293">
        <f t="shared" si="8"/>
        <v>6477.8123301648011</v>
      </c>
      <c r="L25" s="324">
        <f t="shared" si="2"/>
        <v>46.565729413338886</v>
      </c>
      <c r="M25" s="324"/>
      <c r="N25" s="325">
        <v>0</v>
      </c>
      <c r="O25" s="325">
        <v>0</v>
      </c>
      <c r="P25" s="325">
        <f t="shared" si="3"/>
        <v>0</v>
      </c>
      <c r="Q25" s="324">
        <f t="shared" ca="1" si="9"/>
        <v>106.2648680128214</v>
      </c>
      <c r="R25" s="294">
        <f t="shared" ca="1" si="4"/>
        <v>265.73290211596674</v>
      </c>
      <c r="S25" s="364" t="s">
        <v>214</v>
      </c>
      <c r="T25" s="296">
        <f t="shared" ca="1" si="5"/>
        <v>6474.5138307506259</v>
      </c>
      <c r="V25" s="360">
        <f ca="1">+I25+L25+P25</f>
        <v>159.46803410314533</v>
      </c>
      <c r="W25" s="291" t="str">
        <f t="shared" si="10"/>
        <v>P.008</v>
      </c>
      <c r="AB25" s="365"/>
    </row>
    <row r="26" spans="1:28">
      <c r="A26" s="290" t="s">
        <v>181</v>
      </c>
      <c r="B26" s="290" t="s">
        <v>112</v>
      </c>
      <c r="C26" s="302" t="str">
        <f t="shared" ca="1" si="0"/>
        <v>Tulsa Southeast Upgrade (repl switches)*</v>
      </c>
      <c r="D26" s="292">
        <f t="shared" ca="1" si="0"/>
        <v>2007</v>
      </c>
      <c r="E26" s="324">
        <f t="shared" ca="1" si="0"/>
        <v>8186.3337573408444</v>
      </c>
      <c r="F26" s="325">
        <f t="shared" ca="1" si="0"/>
        <v>0</v>
      </c>
      <c r="G26" s="325">
        <f t="shared" ca="1" si="1"/>
        <v>8186.3337573408444</v>
      </c>
      <c r="H26" s="326"/>
      <c r="I26" s="324">
        <f t="shared" ca="1" si="7"/>
        <v>140.8187441232003</v>
      </c>
      <c r="J26" s="458">
        <f>+[2]PSO.Sch.11.Rates!T26</f>
        <v>8592.0177739245883</v>
      </c>
      <c r="K26" s="293">
        <f t="shared" si="8"/>
        <v>8530.6949058869486</v>
      </c>
      <c r="L26" s="324">
        <f t="shared" si="2"/>
        <v>61.322868037639637</v>
      </c>
      <c r="M26" s="324"/>
      <c r="N26" s="325">
        <v>0</v>
      </c>
      <c r="O26" s="325">
        <v>0</v>
      </c>
      <c r="P26" s="325">
        <f t="shared" si="3"/>
        <v>0</v>
      </c>
      <c r="Q26" s="324">
        <f t="shared" ca="1" si="9"/>
        <v>134.70130146758302</v>
      </c>
      <c r="R26" s="294">
        <f t="shared" ca="1" si="4"/>
        <v>336.84291362842293</v>
      </c>
      <c r="S26" s="364" t="s">
        <v>214</v>
      </c>
      <c r="T26" s="296">
        <f t="shared" ca="1" si="5"/>
        <v>8523.1766709692674</v>
      </c>
      <c r="V26" s="360">
        <f t="shared" ca="1" si="6"/>
        <v>202.14161216083994</v>
      </c>
      <c r="W26" s="291" t="str">
        <f t="shared" ref="W26:W31" si="11">A26</f>
        <v>P.009</v>
      </c>
      <c r="AB26" s="365"/>
    </row>
    <row r="27" spans="1:28">
      <c r="A27" s="290" t="s">
        <v>213</v>
      </c>
      <c r="B27" s="290" t="s">
        <v>112</v>
      </c>
      <c r="C27" s="303" t="str">
        <f t="shared" ca="1" si="0"/>
        <v>Wavetrap Clinton City-Foss Tap 69kV Ckt 1*</v>
      </c>
      <c r="D27" s="292">
        <f t="shared" ca="1" si="0"/>
        <v>2010</v>
      </c>
      <c r="E27" s="324">
        <f t="shared" ca="1" si="0"/>
        <v>11485.311097577385</v>
      </c>
      <c r="F27" s="325">
        <f t="shared" ca="1" si="0"/>
        <v>0</v>
      </c>
      <c r="G27" s="325">
        <f t="shared" ca="1" si="1"/>
        <v>11485.311097577385</v>
      </c>
      <c r="H27" s="326"/>
      <c r="I27" s="324">
        <f t="shared" ca="1" si="7"/>
        <v>107.09298400830266</v>
      </c>
      <c r="J27" s="458">
        <f>+[2]PSO.Sch.11.Rates!T27</f>
        <v>11953.671063657495</v>
      </c>
      <c r="K27" s="293">
        <f t="shared" si="8"/>
        <v>11868.355435537329</v>
      </c>
      <c r="L27" s="324">
        <f t="shared" si="2"/>
        <v>85.315628120166366</v>
      </c>
      <c r="M27" s="324"/>
      <c r="N27" s="325">
        <v>0</v>
      </c>
      <c r="O27" s="325">
        <v>0</v>
      </c>
      <c r="P27" s="325">
        <f t="shared" ref="P27:P33" si="12">+N27-O27</f>
        <v>0</v>
      </c>
      <c r="Q27" s="324">
        <f t="shared" ca="1" si="9"/>
        <v>128.21551282896655</v>
      </c>
      <c r="R27" s="294">
        <f t="shared" ca="1" si="4"/>
        <v>320.62412495743558</v>
      </c>
      <c r="S27" s="294"/>
      <c r="T27" s="296">
        <f t="shared" ca="1" si="5"/>
        <v>11805.935222534821</v>
      </c>
      <c r="V27" s="360">
        <f t="shared" ca="1" si="6"/>
        <v>192.40861212846903</v>
      </c>
      <c r="W27" s="291" t="str">
        <f t="shared" si="11"/>
        <v>P.010</v>
      </c>
      <c r="AB27" s="365"/>
    </row>
    <row r="28" spans="1:28">
      <c r="A28" s="357" t="s">
        <v>220</v>
      </c>
      <c r="B28" s="290" t="s">
        <v>112</v>
      </c>
      <c r="C28" s="303" t="str">
        <f t="shared" ca="1" si="0"/>
        <v>Bartlesville SE to Coffeyville T Rebuild</v>
      </c>
      <c r="D28" s="292">
        <f t="shared" ca="1" si="0"/>
        <v>2011</v>
      </c>
      <c r="E28" s="324">
        <f t="shared" ca="1" si="0"/>
        <v>170092.36319375399</v>
      </c>
      <c r="F28" s="325">
        <f t="shared" ca="1" si="0"/>
        <v>0</v>
      </c>
      <c r="G28" s="325">
        <f t="shared" ref="G28:G33" ca="1" si="13">+E28+F28</f>
        <v>170092.36319375399</v>
      </c>
      <c r="H28" s="326"/>
      <c r="I28" s="324">
        <f t="shared" ca="1" si="7"/>
        <v>1119.9143875052105</v>
      </c>
      <c r="J28" s="458">
        <f>+[2]PSO.Sch.11.Rates!T28</f>
        <v>176532.23661201712</v>
      </c>
      <c r="K28" s="293">
        <f t="shared" si="8"/>
        <v>175272.29240158945</v>
      </c>
      <c r="L28" s="324">
        <f t="shared" ref="L28:L33" si="14">+J28-K28</f>
        <v>1259.9442104276677</v>
      </c>
      <c r="M28" s="324"/>
      <c r="N28" s="325">
        <v>0</v>
      </c>
      <c r="O28" s="325">
        <v>0</v>
      </c>
      <c r="P28" s="325">
        <f t="shared" si="12"/>
        <v>0</v>
      </c>
      <c r="Q28" s="324">
        <f t="shared" ca="1" si="9"/>
        <v>1585.8686740625431</v>
      </c>
      <c r="R28" s="294">
        <f t="shared" ref="R28:R33" ca="1" si="15">I28+L28+P28+Q28</f>
        <v>3965.7272719954212</v>
      </c>
      <c r="S28" s="294"/>
      <c r="T28" s="296">
        <f t="shared" ref="T28:T33" ca="1" si="16">+G28+R28</f>
        <v>174058.09046574941</v>
      </c>
      <c r="V28" s="360">
        <f t="shared" ref="V28:V33" ca="1" si="17">+I28+L28+P28</f>
        <v>2379.8585979328782</v>
      </c>
      <c r="W28" s="291" t="str">
        <f t="shared" si="11"/>
        <v>P.011</v>
      </c>
      <c r="AB28" s="365"/>
    </row>
    <row r="29" spans="1:28" ht="25.5">
      <c r="A29" s="357" t="s">
        <v>228</v>
      </c>
      <c r="B29" s="290" t="s">
        <v>112</v>
      </c>
      <c r="C29" s="303" t="str">
        <f t="shared" ca="1" si="0"/>
        <v>Canadian River - McAlester City 138 kV Line Conversion</v>
      </c>
      <c r="D29" s="292">
        <f t="shared" ca="1" si="0"/>
        <v>2012</v>
      </c>
      <c r="E29" s="324">
        <f t="shared" ca="1" si="0"/>
        <v>413696.38401730731</v>
      </c>
      <c r="F29" s="325">
        <f t="shared" ca="1" si="0"/>
        <v>0</v>
      </c>
      <c r="G29" s="325">
        <f t="shared" ca="1" si="13"/>
        <v>413696.38401730731</v>
      </c>
      <c r="H29" s="326"/>
      <c r="I29" s="324">
        <f t="shared" ca="1" si="7"/>
        <v>1187.3509423191426</v>
      </c>
      <c r="J29" s="458">
        <f>+[2]PSO.Sch.11.Rates!T29</f>
        <v>427588.99111547321</v>
      </c>
      <c r="K29" s="293">
        <f t="shared" si="8"/>
        <v>424537.20700998663</v>
      </c>
      <c r="L29" s="324">
        <f t="shared" si="14"/>
        <v>3051.7841054865858</v>
      </c>
      <c r="M29" s="324"/>
      <c r="N29" s="325">
        <v>0</v>
      </c>
      <c r="O29" s="325">
        <v>0</v>
      </c>
      <c r="P29" s="325">
        <f t="shared" si="12"/>
        <v>0</v>
      </c>
      <c r="Q29" s="324">
        <f t="shared" ca="1" si="9"/>
        <v>2824.8365189742813</v>
      </c>
      <c r="R29" s="294">
        <f t="shared" ca="1" si="15"/>
        <v>7063.9715667800101</v>
      </c>
      <c r="S29" s="294"/>
      <c r="T29" s="296">
        <f t="shared" ca="1" si="16"/>
        <v>420760.35558408732</v>
      </c>
      <c r="V29" s="360">
        <f t="shared" ca="1" si="17"/>
        <v>4239.1350478057284</v>
      </c>
      <c r="W29" s="291" t="str">
        <f t="shared" si="11"/>
        <v>P.012</v>
      </c>
      <c r="AB29" s="365"/>
    </row>
    <row r="30" spans="1:28" ht="15.75" customHeight="1">
      <c r="A30" s="357" t="s">
        <v>230</v>
      </c>
      <c r="B30" s="290" t="s">
        <v>112</v>
      </c>
      <c r="C30" s="303" t="str">
        <f t="shared" ca="1" si="0"/>
        <v>CoffeyvilleT to Dearing 138 kv Rebuild - 1.1 mi*</v>
      </c>
      <c r="D30" s="292">
        <f t="shared" ca="1" si="0"/>
        <v>2010</v>
      </c>
      <c r="E30" s="324">
        <f t="shared" ca="1" si="0"/>
        <v>2734.4429571265264</v>
      </c>
      <c r="F30" s="325">
        <f t="shared" ca="1" si="0"/>
        <v>0</v>
      </c>
      <c r="G30" s="325">
        <f t="shared" ca="1" si="13"/>
        <v>2734.4429571265264</v>
      </c>
      <c r="H30" s="326"/>
      <c r="I30" s="324">
        <f t="shared" ca="1" si="7"/>
        <v>14.663661174675781</v>
      </c>
      <c r="J30" s="458">
        <f>+[2]PSO.Sch.11.Rates!T30</f>
        <v>2835.0626886637419</v>
      </c>
      <c r="K30" s="293">
        <f t="shared" si="8"/>
        <v>2814.8283060414224</v>
      </c>
      <c r="L30" s="324">
        <f t="shared" si="14"/>
        <v>20.234382622319572</v>
      </c>
      <c r="M30" s="324"/>
      <c r="N30" s="325">
        <v>0</v>
      </c>
      <c r="O30" s="325">
        <v>0</v>
      </c>
      <c r="P30" s="325">
        <f t="shared" si="12"/>
        <v>0</v>
      </c>
      <c r="Q30" s="324">
        <f t="shared" ca="1" si="9"/>
        <v>23.255043174324971</v>
      </c>
      <c r="R30" s="294">
        <f t="shared" ca="1" si="15"/>
        <v>58.15308697132032</v>
      </c>
      <c r="S30" s="294"/>
      <c r="T30" s="296">
        <f t="shared" ca="1" si="16"/>
        <v>2792.5960440978465</v>
      </c>
      <c r="V30" s="360">
        <f ca="1">+I30+L30+P30</f>
        <v>34.898043796995353</v>
      </c>
      <c r="W30" s="291" t="str">
        <f t="shared" si="11"/>
        <v>P.013</v>
      </c>
      <c r="AB30" s="365"/>
    </row>
    <row r="31" spans="1:28" ht="15.75" customHeight="1">
      <c r="A31" s="407" t="s">
        <v>233</v>
      </c>
      <c r="B31" s="290" t="s">
        <v>112</v>
      </c>
      <c r="C31" s="303" t="str">
        <f t="shared" ca="1" si="0"/>
        <v>Ashdown West - Craig Junction</v>
      </c>
      <c r="D31" s="292">
        <f t="shared" ca="1" si="0"/>
        <v>2013</v>
      </c>
      <c r="E31" s="324">
        <f t="shared" ca="1" si="0"/>
        <v>120629.38384333157</v>
      </c>
      <c r="F31" s="325">
        <f t="shared" ca="1" si="0"/>
        <v>0</v>
      </c>
      <c r="G31" s="325">
        <f t="shared" ca="1" si="13"/>
        <v>120629.38384333157</v>
      </c>
      <c r="H31" s="326"/>
      <c r="I31" s="324">
        <f t="shared" ca="1" si="7"/>
        <v>10278.426578608371</v>
      </c>
      <c r="J31" s="458">
        <f>+[2]PSO.Sch.11.Rates!T31</f>
        <v>167052.78917425824</v>
      </c>
      <c r="K31" s="293">
        <f t="shared" si="8"/>
        <v>165860.50158647625</v>
      </c>
      <c r="L31" s="324">
        <f t="shared" si="14"/>
        <v>1192.2875877819897</v>
      </c>
      <c r="M31" s="324"/>
      <c r="N31" s="325">
        <v>0</v>
      </c>
      <c r="O31" s="325">
        <v>0</v>
      </c>
      <c r="P31" s="325">
        <f t="shared" si="12"/>
        <v>0</v>
      </c>
      <c r="Q31" s="324">
        <f t="shared" ca="1" si="9"/>
        <v>7643.7508856217228</v>
      </c>
      <c r="R31" s="294">
        <f t="shared" ca="1" si="15"/>
        <v>19114.465052012085</v>
      </c>
      <c r="S31" s="294"/>
      <c r="T31" s="296">
        <f t="shared" ca="1" si="16"/>
        <v>139743.84889534366</v>
      </c>
      <c r="V31" s="360">
        <f t="shared" ca="1" si="17"/>
        <v>11470.71416639036</v>
      </c>
      <c r="W31" s="291" t="str">
        <f t="shared" si="11"/>
        <v>P.014</v>
      </c>
      <c r="AB31" s="365"/>
    </row>
    <row r="32" spans="1:28" ht="25.5" customHeight="1">
      <c r="A32" s="407" t="s">
        <v>246</v>
      </c>
      <c r="B32" s="290" t="s">
        <v>112</v>
      </c>
      <c r="C32" s="303" t="str">
        <f t="shared" ca="1" si="0"/>
        <v>Locust Grove to Lone Star 115 kV Rebuild 2.1 miles</v>
      </c>
      <c r="D32" s="292">
        <f t="shared" ca="1" si="0"/>
        <v>2014</v>
      </c>
      <c r="E32" s="324">
        <f t="shared" ca="1" si="0"/>
        <v>286221.77863511298</v>
      </c>
      <c r="F32" s="325">
        <f t="shared" ca="1" si="0"/>
        <v>0</v>
      </c>
      <c r="G32" s="325">
        <f t="shared" ca="1" si="13"/>
        <v>286221.77863511298</v>
      </c>
      <c r="H32" s="326"/>
      <c r="I32" s="324">
        <f t="shared" ca="1" si="7"/>
        <v>1634.8817788617453</v>
      </c>
      <c r="J32" s="458">
        <f>+[2]PSO.Sch.11.Rates!T32</f>
        <v>297530.17806103436</v>
      </c>
      <c r="K32" s="293">
        <f t="shared" si="8"/>
        <v>295406.64848666312</v>
      </c>
      <c r="L32" s="324">
        <f t="shared" si="14"/>
        <v>2123.529574371234</v>
      </c>
      <c r="M32" s="324"/>
      <c r="N32" s="325">
        <v>0</v>
      </c>
      <c r="O32" s="325">
        <v>0</v>
      </c>
      <c r="P32" s="325">
        <f t="shared" si="12"/>
        <v>0</v>
      </c>
      <c r="Q32" s="324">
        <f t="shared" ca="1" si="9"/>
        <v>2504.4962059974032</v>
      </c>
      <c r="R32" s="294">
        <f t="shared" ca="1" si="15"/>
        <v>6262.9075592303825</v>
      </c>
      <c r="S32" s="294"/>
      <c r="T32" s="296">
        <f t="shared" ca="1" si="16"/>
        <v>292484.68619434338</v>
      </c>
      <c r="V32" s="360">
        <f t="shared" ca="1" si="17"/>
        <v>3758.4113532329793</v>
      </c>
      <c r="W32" s="291" t="str">
        <f t="shared" ref="W32:W45" si="18">A32</f>
        <v>P.015</v>
      </c>
      <c r="AB32" s="365"/>
    </row>
    <row r="33" spans="1:28" ht="15.75" customHeight="1">
      <c r="A33" s="407" t="s">
        <v>247</v>
      </c>
      <c r="B33" s="290" t="s">
        <v>112</v>
      </c>
      <c r="C33" s="303" t="str">
        <f t="shared" ca="1" si="0"/>
        <v>Cornville Station Conversion</v>
      </c>
      <c r="D33" s="292">
        <f t="shared" ca="1" si="0"/>
        <v>2014</v>
      </c>
      <c r="E33" s="324">
        <f t="shared" ca="1" si="0"/>
        <v>653538.133879842</v>
      </c>
      <c r="F33" s="325">
        <f t="shared" ca="1" si="0"/>
        <v>0</v>
      </c>
      <c r="G33" s="325">
        <f t="shared" ca="1" si="13"/>
        <v>653538.133879842</v>
      </c>
      <c r="H33" s="326"/>
      <c r="I33" s="324">
        <f t="shared" ca="1" si="7"/>
        <v>4014.8263271549949</v>
      </c>
      <c r="J33" s="458">
        <f>+[2]PSO.Sch.11.Rates!T33</f>
        <v>678593.08635191945</v>
      </c>
      <c r="K33" s="293">
        <f t="shared" si="8"/>
        <v>673749.83819059667</v>
      </c>
      <c r="L33" s="324">
        <f t="shared" si="14"/>
        <v>4843.2481613227865</v>
      </c>
      <c r="M33" s="324"/>
      <c r="N33" s="325">
        <v>0</v>
      </c>
      <c r="O33" s="325">
        <v>0</v>
      </c>
      <c r="P33" s="325">
        <f t="shared" si="12"/>
        <v>0</v>
      </c>
      <c r="Q33" s="324">
        <f t="shared" ca="1" si="9"/>
        <v>5902.7636583077792</v>
      </c>
      <c r="R33" s="294">
        <f t="shared" ca="1" si="15"/>
        <v>14760.838146785562</v>
      </c>
      <c r="S33" s="294"/>
      <c r="T33" s="296">
        <f t="shared" ca="1" si="16"/>
        <v>668298.97202662751</v>
      </c>
      <c r="V33" s="360">
        <f t="shared" ca="1" si="17"/>
        <v>8858.0744884777814</v>
      </c>
      <c r="W33" s="291" t="str">
        <f t="shared" si="18"/>
        <v>P.016</v>
      </c>
      <c r="AB33" s="365"/>
    </row>
    <row r="34" spans="1:28">
      <c r="A34" s="407" t="s">
        <v>258</v>
      </c>
      <c r="B34" s="290" t="s">
        <v>112</v>
      </c>
      <c r="C34" s="303" t="str">
        <f t="shared" ca="1" si="0"/>
        <v>Grady Customer Connection</v>
      </c>
      <c r="D34" s="292">
        <f t="shared" ca="1" si="0"/>
        <v>2015</v>
      </c>
      <c r="E34" s="324">
        <f t="shared" ca="1" si="0"/>
        <v>222315.32764746679</v>
      </c>
      <c r="F34" s="325">
        <f t="shared" ca="1" si="0"/>
        <v>0</v>
      </c>
      <c r="G34" s="325">
        <f t="shared" ref="G34:G42" ca="1" si="19">+E34+F34</f>
        <v>222315.32764746679</v>
      </c>
      <c r="H34" s="326"/>
      <c r="I34" s="324">
        <f t="shared" ca="1" si="7"/>
        <v>1342.2508443069237</v>
      </c>
      <c r="J34" s="458">
        <f>+[2]PSO.Sch.11.Rates!T34</f>
        <v>221275.2825759374</v>
      </c>
      <c r="K34" s="293">
        <f t="shared" si="8"/>
        <v>219695.99872080199</v>
      </c>
      <c r="L34" s="324">
        <f t="shared" ref="L34:L42" si="20">+J34-K34</f>
        <v>1579.2838551354071</v>
      </c>
      <c r="M34" s="324"/>
      <c r="N34" s="325">
        <v>0</v>
      </c>
      <c r="O34" s="325">
        <v>0</v>
      </c>
      <c r="P34" s="325">
        <f t="shared" ref="P34:P42" si="21">+N34-O34</f>
        <v>0</v>
      </c>
      <c r="Q34" s="324">
        <f t="shared" ca="1" si="9"/>
        <v>1946.8259013609654</v>
      </c>
      <c r="R34" s="294">
        <f t="shared" ref="R34:R42" ca="1" si="22">I34+L34+P34+Q34</f>
        <v>4868.3606008032966</v>
      </c>
      <c r="S34" s="294"/>
      <c r="T34" s="296">
        <f t="shared" ref="T34:T42" ca="1" si="23">+G34+R34</f>
        <v>227183.6882482701</v>
      </c>
      <c r="U34" s="7"/>
      <c r="V34" s="360">
        <f t="shared" ref="V34:V45" ca="1" si="24">+I34+L34+P34</f>
        <v>2921.5346994423307</v>
      </c>
      <c r="W34" s="291" t="str">
        <f t="shared" si="18"/>
        <v>P.017</v>
      </c>
      <c r="AB34" s="365"/>
    </row>
    <row r="35" spans="1:28">
      <c r="A35" s="407" t="s">
        <v>259</v>
      </c>
      <c r="B35" s="290" t="s">
        <v>112</v>
      </c>
      <c r="C35" s="303" t="str">
        <f t="shared" ca="1" si="0"/>
        <v>Darlington-Red Rock 138 kV line</v>
      </c>
      <c r="D35" s="292">
        <f t="shared" ca="1" si="0"/>
        <v>2014</v>
      </c>
      <c r="E35" s="452">
        <f t="shared" ca="1" si="0"/>
        <v>220554.30974952347</v>
      </c>
      <c r="F35" s="453">
        <f t="shared" ca="1" si="0"/>
        <v>0</v>
      </c>
      <c r="G35" s="453">
        <f t="shared" ca="1" si="19"/>
        <v>220554.30974952347</v>
      </c>
      <c r="H35" s="454"/>
      <c r="I35" s="324">
        <f t="shared" ca="1" si="7"/>
        <v>4037.8043721883732</v>
      </c>
      <c r="J35" s="458">
        <f>+[2]PSO.Sch.11.Rates!T35</f>
        <v>231623.84366798078</v>
      </c>
      <c r="K35" s="293">
        <f t="shared" si="8"/>
        <v>229970.70016044186</v>
      </c>
      <c r="L35" s="452">
        <f t="shared" si="20"/>
        <v>1653.1435075389163</v>
      </c>
      <c r="M35" s="452"/>
      <c r="N35" s="453">
        <v>0</v>
      </c>
      <c r="O35" s="453">
        <v>0</v>
      </c>
      <c r="P35" s="453">
        <f t="shared" si="21"/>
        <v>0</v>
      </c>
      <c r="Q35" s="452">
        <f t="shared" ca="1" si="9"/>
        <v>3792.2824389740072</v>
      </c>
      <c r="R35" s="442">
        <f t="shared" ca="1" si="22"/>
        <v>9483.2303187012967</v>
      </c>
      <c r="S35" s="442"/>
      <c r="T35" s="444">
        <f t="shared" ca="1" si="23"/>
        <v>230037.54006822477</v>
      </c>
      <c r="U35" s="7"/>
      <c r="V35" s="456">
        <f t="shared" ca="1" si="24"/>
        <v>5690.9478797272895</v>
      </c>
      <c r="W35" s="291" t="str">
        <f t="shared" si="18"/>
        <v>P.018</v>
      </c>
      <c r="AB35" s="365"/>
    </row>
    <row r="36" spans="1:28">
      <c r="A36" s="407" t="s">
        <v>266</v>
      </c>
      <c r="B36" s="290" t="s">
        <v>112</v>
      </c>
      <c r="C36" s="303" t="str">
        <f t="shared" ca="1" si="0"/>
        <v>Valliant-NW Texarkana 345 kV</v>
      </c>
      <c r="D36" s="292">
        <f t="shared" ca="1" si="0"/>
        <v>2017</v>
      </c>
      <c r="E36" s="452">
        <f t="shared" ca="1" si="0"/>
        <v>179884.73394572729</v>
      </c>
      <c r="F36" s="453">
        <f t="shared" ca="1" si="0"/>
        <v>0</v>
      </c>
      <c r="G36" s="453">
        <f t="shared" ca="1" si="19"/>
        <v>179884.73394572729</v>
      </c>
      <c r="H36" s="454"/>
      <c r="I36" s="324">
        <f t="shared" ca="1" si="7"/>
        <v>-268.93837701786833</v>
      </c>
      <c r="J36" s="458">
        <f>+[2]PSO.Sch.11.Rates!T36</f>
        <v>105641.6474528401</v>
      </c>
      <c r="K36" s="293">
        <f t="shared" ref="K36:K41" si="25">J36/J$47*K$47</f>
        <v>104887.66288524648</v>
      </c>
      <c r="L36" s="452">
        <f t="shared" si="20"/>
        <v>753.98456759362307</v>
      </c>
      <c r="M36" s="452"/>
      <c r="N36" s="453">
        <v>0</v>
      </c>
      <c r="O36" s="453">
        <v>0</v>
      </c>
      <c r="P36" s="453">
        <f t="shared" si="21"/>
        <v>0</v>
      </c>
      <c r="Q36" s="452">
        <f t="shared" ca="1" si="9"/>
        <v>323.22069881613817</v>
      </c>
      <c r="R36" s="442">
        <f t="shared" ca="1" si="22"/>
        <v>808.26688939189285</v>
      </c>
      <c r="S36" s="442"/>
      <c r="T36" s="444">
        <f t="shared" ca="1" si="23"/>
        <v>180693.00083511919</v>
      </c>
      <c r="U36" s="7"/>
      <c r="V36" s="456">
        <f t="shared" ca="1" si="24"/>
        <v>485.04619057575474</v>
      </c>
      <c r="W36" s="291" t="str">
        <f t="shared" si="18"/>
        <v>P.019</v>
      </c>
      <c r="AB36" s="365"/>
    </row>
    <row r="37" spans="1:28">
      <c r="A37" s="407" t="s">
        <v>267</v>
      </c>
      <c r="B37" s="290" t="s">
        <v>112</v>
      </c>
      <c r="C37" s="303" t="str">
        <f t="shared" ca="1" si="0"/>
        <v>Sayre 138 kV Capacitor Bank Addition</v>
      </c>
      <c r="D37" s="292">
        <f t="shared" ca="1" si="0"/>
        <v>2017</v>
      </c>
      <c r="E37" s="324">
        <f t="shared" ca="1" si="0"/>
        <v>156997.50222910754</v>
      </c>
      <c r="F37" s="325">
        <f t="shared" ca="1" si="0"/>
        <v>0</v>
      </c>
      <c r="G37" s="325">
        <f t="shared" ca="1" si="19"/>
        <v>156997.50222910754</v>
      </c>
      <c r="H37" s="326"/>
      <c r="I37" s="324">
        <f t="shared" ca="1" si="7"/>
        <v>41572.489145955944</v>
      </c>
      <c r="J37" s="458">
        <f>+[2]PSO.Sch.11.Rates!T37</f>
        <v>30733.448112177342</v>
      </c>
      <c r="K37" s="293">
        <f t="shared" si="25"/>
        <v>30514.097636827497</v>
      </c>
      <c r="L37" s="452">
        <f t="shared" si="20"/>
        <v>219.35047534984551</v>
      </c>
      <c r="M37" s="452"/>
      <c r="N37" s="453">
        <v>0</v>
      </c>
      <c r="O37" s="453">
        <v>0</v>
      </c>
      <c r="P37" s="453">
        <f t="shared" si="21"/>
        <v>0</v>
      </c>
      <c r="Q37" s="452">
        <f t="shared" ca="1" si="9"/>
        <v>27848.868560695857</v>
      </c>
      <c r="R37" s="442">
        <f t="shared" ca="1" si="22"/>
        <v>69640.708182001646</v>
      </c>
      <c r="S37" s="442"/>
      <c r="T37" s="444">
        <f t="shared" ca="1" si="23"/>
        <v>226638.2104111092</v>
      </c>
      <c r="U37" s="7"/>
      <c r="V37" s="456">
        <f t="shared" ca="1" si="24"/>
        <v>41791.839621305786</v>
      </c>
      <c r="W37" s="291" t="str">
        <f t="shared" si="18"/>
        <v>P.020</v>
      </c>
      <c r="AB37" s="365"/>
    </row>
    <row r="38" spans="1:28">
      <c r="A38" s="407" t="s">
        <v>268</v>
      </c>
      <c r="B38" s="290" t="s">
        <v>112</v>
      </c>
      <c r="C38" s="303" t="str">
        <f t="shared" ca="1" si="0"/>
        <v>Darlington-Roman Nose 138 kV</v>
      </c>
      <c r="D38" s="292">
        <f t="shared" ca="1" si="0"/>
        <v>2017</v>
      </c>
      <c r="E38" s="324">
        <f t="shared" ca="1" si="0"/>
        <v>35362.40744370599</v>
      </c>
      <c r="F38" s="325">
        <f t="shared" ca="1" si="0"/>
        <v>0</v>
      </c>
      <c r="G38" s="325">
        <f t="shared" ca="1" si="19"/>
        <v>35362.40744370599</v>
      </c>
      <c r="H38" s="326"/>
      <c r="I38" s="324">
        <f t="shared" ca="1" si="7"/>
        <v>5013.0847066057213</v>
      </c>
      <c r="J38" s="458">
        <f>+[2]PSO.Sch.11.Rates!T38</f>
        <v>19337.763747649027</v>
      </c>
      <c r="K38" s="293">
        <f t="shared" si="25"/>
        <v>19199.746443024847</v>
      </c>
      <c r="L38" s="452">
        <f t="shared" si="20"/>
        <v>138.01730462417981</v>
      </c>
      <c r="M38" s="452"/>
      <c r="N38" s="453">
        <v>0</v>
      </c>
      <c r="O38" s="453">
        <v>0</v>
      </c>
      <c r="P38" s="453">
        <f t="shared" si="21"/>
        <v>0</v>
      </c>
      <c r="Q38" s="452">
        <f t="shared" ca="1" si="9"/>
        <v>3432.544825816773</v>
      </c>
      <c r="R38" s="442">
        <f t="shared" ca="1" si="22"/>
        <v>8583.6468370466737</v>
      </c>
      <c r="S38" s="442"/>
      <c r="T38" s="444">
        <f t="shared" ca="1" si="23"/>
        <v>43946.054280752665</v>
      </c>
      <c r="U38" s="7"/>
      <c r="V38" s="456">
        <f t="shared" ca="1" si="24"/>
        <v>5151.1020112299011</v>
      </c>
      <c r="W38" s="291" t="str">
        <f t="shared" si="18"/>
        <v>P.021</v>
      </c>
      <c r="AB38" s="365"/>
    </row>
    <row r="39" spans="1:28">
      <c r="A39" s="407" t="s">
        <v>269</v>
      </c>
      <c r="B39" s="290" t="s">
        <v>112</v>
      </c>
      <c r="C39" s="303" t="str">
        <f t="shared" ca="1" si="0"/>
        <v>Northeastern Station 138 kV Terminal Upgrades</v>
      </c>
      <c r="D39" s="292">
        <f t="shared" ca="1" si="0"/>
        <v>2018</v>
      </c>
      <c r="E39" s="324">
        <f t="shared" ca="1" si="0"/>
        <v>33550.909846767216</v>
      </c>
      <c r="F39" s="325">
        <f t="shared" ca="1" si="0"/>
        <v>0</v>
      </c>
      <c r="G39" s="325">
        <f t="shared" ca="1" si="19"/>
        <v>33550.909846767216</v>
      </c>
      <c r="H39" s="326"/>
      <c r="I39" s="324">
        <f t="shared" ca="1" si="7"/>
        <v>0</v>
      </c>
      <c r="J39" s="458">
        <f>+[2]PSO.Sch.11.Rates!T39</f>
        <v>0</v>
      </c>
      <c r="K39" s="491">
        <f t="shared" si="25"/>
        <v>0</v>
      </c>
      <c r="L39" s="452">
        <f t="shared" si="20"/>
        <v>0</v>
      </c>
      <c r="M39" s="452"/>
      <c r="N39" s="453">
        <v>0</v>
      </c>
      <c r="O39" s="453">
        <v>0</v>
      </c>
      <c r="P39" s="453">
        <f t="shared" si="21"/>
        <v>0</v>
      </c>
      <c r="Q39" s="452">
        <f t="shared" ca="1" si="9"/>
        <v>0</v>
      </c>
      <c r="R39" s="442">
        <f t="shared" ca="1" si="22"/>
        <v>0</v>
      </c>
      <c r="S39" s="442"/>
      <c r="T39" s="444">
        <f t="shared" ca="1" si="23"/>
        <v>33550.909846767216</v>
      </c>
      <c r="U39" s="7"/>
      <c r="V39" s="456">
        <f t="shared" ref="V39:V44" ca="1" si="26">+I39+L39+P39</f>
        <v>0</v>
      </c>
      <c r="W39" s="291" t="str">
        <f t="shared" ref="W39:W44" si="27">A39</f>
        <v>P.022</v>
      </c>
      <c r="AB39" s="365"/>
    </row>
    <row r="40" spans="1:28">
      <c r="A40" s="407" t="s">
        <v>291</v>
      </c>
      <c r="B40" s="290" t="s">
        <v>112</v>
      </c>
      <c r="C40" s="303" t="str">
        <f t="shared" ca="1" si="0"/>
        <v>Elk City 138 KV Move Load</v>
      </c>
      <c r="D40" s="292">
        <f t="shared" ca="1" si="0"/>
        <v>2018</v>
      </c>
      <c r="E40" s="324">
        <f t="shared" ca="1" si="0"/>
        <v>280426.68566670635</v>
      </c>
      <c r="F40" s="325">
        <f t="shared" ca="1" si="0"/>
        <v>0</v>
      </c>
      <c r="G40" s="325">
        <f t="shared" ca="1" si="19"/>
        <v>280426.68566670635</v>
      </c>
      <c r="H40" s="326"/>
      <c r="I40" s="324">
        <f t="shared" ca="1" si="7"/>
        <v>0</v>
      </c>
      <c r="J40" s="458">
        <f>+[2]PSO.Sch.11.Rates!T40</f>
        <v>0</v>
      </c>
      <c r="K40" s="491">
        <f t="shared" si="25"/>
        <v>0</v>
      </c>
      <c r="L40" s="452">
        <f t="shared" si="20"/>
        <v>0</v>
      </c>
      <c r="M40" s="452"/>
      <c r="N40" s="453">
        <v>0</v>
      </c>
      <c r="O40" s="453">
        <v>0</v>
      </c>
      <c r="P40" s="453">
        <f t="shared" si="21"/>
        <v>0</v>
      </c>
      <c r="Q40" s="452">
        <f t="shared" ca="1" si="9"/>
        <v>0</v>
      </c>
      <c r="R40" s="442">
        <f t="shared" ca="1" si="22"/>
        <v>0</v>
      </c>
      <c r="S40" s="442"/>
      <c r="T40" s="444">
        <f t="shared" ca="1" si="23"/>
        <v>280426.68566670635</v>
      </c>
      <c r="U40" s="7"/>
      <c r="V40" s="456">
        <f t="shared" ca="1" si="26"/>
        <v>0</v>
      </c>
      <c r="W40" s="291" t="str">
        <f t="shared" si="27"/>
        <v>P.023</v>
      </c>
      <c r="AB40" s="365"/>
    </row>
    <row r="41" spans="1:28">
      <c r="A41" s="407" t="s">
        <v>292</v>
      </c>
      <c r="B41" s="290" t="s">
        <v>112</v>
      </c>
      <c r="C41" s="303" t="str">
        <f t="shared" ca="1" si="0"/>
        <v>Fort Townson-Valliant Line Rebuild</v>
      </c>
      <c r="D41" s="292">
        <f t="shared" ca="1" si="0"/>
        <v>2019</v>
      </c>
      <c r="E41" s="324">
        <f t="shared" ca="1" si="0"/>
        <v>73419.565193351213</v>
      </c>
      <c r="F41" s="325">
        <f t="shared" ca="1" si="0"/>
        <v>0</v>
      </c>
      <c r="G41" s="325">
        <f t="shared" ca="1" si="19"/>
        <v>73419.565193351213</v>
      </c>
      <c r="H41" s="326"/>
      <c r="I41" s="324">
        <f t="shared" ca="1" si="7"/>
        <v>0</v>
      </c>
      <c r="J41" s="458">
        <f>+[2]PSO.Sch.11.Rates!T41</f>
        <v>0</v>
      </c>
      <c r="K41" s="491">
        <f t="shared" si="25"/>
        <v>0</v>
      </c>
      <c r="L41" s="452">
        <f t="shared" si="20"/>
        <v>0</v>
      </c>
      <c r="M41" s="452"/>
      <c r="N41" s="453">
        <v>0</v>
      </c>
      <c r="O41" s="453">
        <v>0</v>
      </c>
      <c r="P41" s="453">
        <f t="shared" si="21"/>
        <v>0</v>
      </c>
      <c r="Q41" s="452">
        <f t="shared" ca="1" si="9"/>
        <v>0</v>
      </c>
      <c r="R41" s="442">
        <f t="shared" ca="1" si="22"/>
        <v>0</v>
      </c>
      <c r="S41" s="442"/>
      <c r="T41" s="444">
        <f t="shared" ca="1" si="23"/>
        <v>73419.565193351213</v>
      </c>
      <c r="U41" s="7"/>
      <c r="V41" s="456">
        <f t="shared" ca="1" si="26"/>
        <v>0</v>
      </c>
      <c r="W41" s="291" t="str">
        <f t="shared" si="27"/>
        <v>P.024</v>
      </c>
      <c r="AB41" s="365"/>
    </row>
    <row r="42" spans="1:28" ht="25.5">
      <c r="A42" s="407" t="s">
        <v>293</v>
      </c>
      <c r="B42" s="290" t="s">
        <v>112</v>
      </c>
      <c r="C42" s="303" t="str">
        <f t="shared" ca="1" si="0"/>
        <v>Duncan-Comanche Tap 69 KV Rebuild and Duncan station upgrades</v>
      </c>
      <c r="D42" s="292">
        <f t="shared" ca="1" si="0"/>
        <v>2018</v>
      </c>
      <c r="E42" s="324">
        <f t="shared" ca="1" si="0"/>
        <v>167204.53431831533</v>
      </c>
      <c r="F42" s="325">
        <f t="shared" ca="1" si="0"/>
        <v>0</v>
      </c>
      <c r="G42" s="325">
        <f t="shared" ca="1" si="19"/>
        <v>167204.53431831533</v>
      </c>
      <c r="H42" s="326"/>
      <c r="I42" s="324">
        <f t="shared" ca="1" si="7"/>
        <v>0</v>
      </c>
      <c r="J42" s="458"/>
      <c r="K42" s="491"/>
      <c r="L42" s="452">
        <f t="shared" si="20"/>
        <v>0</v>
      </c>
      <c r="M42" s="452"/>
      <c r="N42" s="453">
        <v>0</v>
      </c>
      <c r="O42" s="453">
        <v>0</v>
      </c>
      <c r="P42" s="453">
        <f t="shared" si="21"/>
        <v>0</v>
      </c>
      <c r="Q42" s="452">
        <f t="shared" ca="1" si="9"/>
        <v>0</v>
      </c>
      <c r="R42" s="442">
        <f t="shared" ca="1" si="22"/>
        <v>0</v>
      </c>
      <c r="S42" s="442"/>
      <c r="T42" s="444">
        <f t="shared" ca="1" si="23"/>
        <v>167204.53431831533</v>
      </c>
      <c r="U42" s="7"/>
      <c r="V42" s="456">
        <f t="shared" ca="1" si="26"/>
        <v>0</v>
      </c>
      <c r="W42" s="291" t="str">
        <f t="shared" si="27"/>
        <v>P.025</v>
      </c>
      <c r="AB42" s="365"/>
    </row>
    <row r="43" spans="1:28">
      <c r="A43" s="407" t="s">
        <v>342</v>
      </c>
      <c r="B43" s="290" t="s">
        <v>112</v>
      </c>
      <c r="C43" s="303" t="str">
        <f t="shared" ca="1" si="0"/>
        <v>Tulsa Southeast - E. 61st St 138 kV Rebuild</v>
      </c>
      <c r="D43" s="292">
        <f t="shared" ca="1" si="0"/>
        <v>2019</v>
      </c>
      <c r="E43" s="324">
        <f t="shared" ca="1" si="0"/>
        <v>289443.44836681819</v>
      </c>
      <c r="F43" s="325">
        <f t="shared" ca="1" si="0"/>
        <v>0</v>
      </c>
      <c r="G43" s="325">
        <f ca="1">+E43+F43</f>
        <v>289443.44836681819</v>
      </c>
      <c r="H43" s="326"/>
      <c r="I43" s="324">
        <f t="shared" ca="1" si="7"/>
        <v>0</v>
      </c>
      <c r="J43" s="458"/>
      <c r="K43" s="491"/>
      <c r="L43" s="452">
        <f>+J43-K43</f>
        <v>0</v>
      </c>
      <c r="M43" s="452"/>
      <c r="N43" s="453">
        <v>0</v>
      </c>
      <c r="O43" s="453">
        <v>0</v>
      </c>
      <c r="P43" s="453">
        <f>+N43-O43</f>
        <v>0</v>
      </c>
      <c r="Q43" s="452">
        <f t="shared" ca="1" si="9"/>
        <v>0</v>
      </c>
      <c r="R43" s="442">
        <f ca="1">I43+L43+P43+Q43</f>
        <v>0</v>
      </c>
      <c r="S43" s="442"/>
      <c r="T43" s="444">
        <f ca="1">+G43+R43</f>
        <v>289443.44836681819</v>
      </c>
      <c r="U43" s="7"/>
      <c r="V43" s="456">
        <f t="shared" ca="1" si="26"/>
        <v>0</v>
      </c>
      <c r="W43" s="291" t="str">
        <f t="shared" si="27"/>
        <v>P.026</v>
      </c>
      <c r="AB43" s="365"/>
    </row>
    <row r="44" spans="1:28">
      <c r="A44" s="407" t="s">
        <v>343</v>
      </c>
      <c r="B44" s="290" t="s">
        <v>112</v>
      </c>
      <c r="C44" s="303" t="str">
        <f t="shared" ca="1" si="0"/>
        <v>Broken Arrow North-Lynn Lane East 138 kV</v>
      </c>
      <c r="D44" s="292">
        <f t="shared" ca="1" si="0"/>
        <v>2019</v>
      </c>
      <c r="E44" s="324">
        <f t="shared" ca="1" si="0"/>
        <v>237362.06354922196</v>
      </c>
      <c r="F44" s="325">
        <f t="shared" ca="1" si="0"/>
        <v>0</v>
      </c>
      <c r="G44" s="325">
        <f ca="1">+E44+F44</f>
        <v>237362.06354922196</v>
      </c>
      <c r="H44" s="326"/>
      <c r="I44" s="324">
        <f t="shared" ca="1" si="7"/>
        <v>0</v>
      </c>
      <c r="J44" s="458"/>
      <c r="K44" s="491"/>
      <c r="L44" s="452">
        <f>+J44-K44</f>
        <v>0</v>
      </c>
      <c r="M44" s="452"/>
      <c r="N44" s="453">
        <v>0</v>
      </c>
      <c r="O44" s="453">
        <v>0</v>
      </c>
      <c r="P44" s="453">
        <f>+N44-O44</f>
        <v>0</v>
      </c>
      <c r="Q44" s="452">
        <f t="shared" ca="1" si="9"/>
        <v>0</v>
      </c>
      <c r="R44" s="442">
        <f ca="1">I44+L44+P44+Q44</f>
        <v>0</v>
      </c>
      <c r="S44" s="442"/>
      <c r="T44" s="444">
        <f ca="1">+G44+R44</f>
        <v>237362.06354922196</v>
      </c>
      <c r="U44" s="7"/>
      <c r="V44" s="456">
        <f t="shared" ca="1" si="26"/>
        <v>0</v>
      </c>
      <c r="W44" s="291" t="str">
        <f t="shared" si="27"/>
        <v>P.027</v>
      </c>
      <c r="AB44" s="365"/>
    </row>
    <row r="45" spans="1:28">
      <c r="A45" s="407"/>
      <c r="B45" s="290"/>
      <c r="C45" s="303"/>
      <c r="D45" s="292"/>
      <c r="E45" s="452"/>
      <c r="F45" s="453"/>
      <c r="G45" s="453"/>
      <c r="H45" s="454"/>
      <c r="I45" s="452"/>
      <c r="J45" s="458"/>
      <c r="K45" s="455"/>
      <c r="L45" s="452"/>
      <c r="M45" s="452"/>
      <c r="N45" s="453"/>
      <c r="O45" s="453"/>
      <c r="P45" s="453"/>
      <c r="Q45" s="452"/>
      <c r="R45" s="442"/>
      <c r="S45" s="442"/>
      <c r="T45" s="444"/>
      <c r="U45" s="7"/>
      <c r="V45" s="456">
        <f t="shared" si="24"/>
        <v>0</v>
      </c>
      <c r="W45" s="291">
        <f t="shared" si="18"/>
        <v>0</v>
      </c>
      <c r="AB45" s="365"/>
    </row>
    <row r="46" spans="1:28">
      <c r="A46" s="291"/>
      <c r="B46" s="291"/>
      <c r="C46" s="291"/>
      <c r="D46" s="290"/>
      <c r="E46" s="442"/>
      <c r="F46" s="442"/>
      <c r="G46" s="442"/>
      <c r="H46" s="294"/>
      <c r="I46" s="442"/>
      <c r="J46" s="442"/>
      <c r="K46" s="443"/>
      <c r="L46" s="442"/>
      <c r="M46" s="442"/>
      <c r="N46" s="442"/>
      <c r="O46" s="442"/>
      <c r="P46" s="442"/>
      <c r="Q46" s="442"/>
      <c r="R46" s="442"/>
      <c r="S46" s="294"/>
      <c r="T46" s="444"/>
      <c r="V46" s="331"/>
      <c r="AB46" s="365"/>
    </row>
    <row r="47" spans="1:28">
      <c r="A47" s="291"/>
      <c r="B47" s="291"/>
      <c r="C47" s="327" t="s">
        <v>171</v>
      </c>
      <c r="D47" s="290"/>
      <c r="E47" s="294">
        <f t="shared" ref="E47:J47" ca="1" si="28">SUM(E18:E45)</f>
        <v>7470466.2267492693</v>
      </c>
      <c r="F47" s="294">
        <f t="shared" ca="1" si="28"/>
        <v>0</v>
      </c>
      <c r="G47" s="294">
        <f t="shared" ca="1" si="28"/>
        <v>7470466.2267492693</v>
      </c>
      <c r="H47" s="294">
        <f t="shared" si="28"/>
        <v>0</v>
      </c>
      <c r="I47" s="294">
        <f t="shared" ca="1" si="28"/>
        <v>84141.93878736459</v>
      </c>
      <c r="J47" s="294">
        <f t="shared" si="28"/>
        <v>6426650.2272522626</v>
      </c>
      <c r="K47" s="490">
        <v>6380782</v>
      </c>
      <c r="L47" s="294">
        <f>SUM(L18:L45)</f>
        <v>45868.227252262761</v>
      </c>
      <c r="M47" s="294">
        <f>SUM(M18:M45)</f>
        <v>0</v>
      </c>
      <c r="N47" s="294">
        <f>SUM(N18:N45)</f>
        <v>0</v>
      </c>
      <c r="O47" s="294">
        <f>SUM(O18:O45)</f>
        <v>0</v>
      </c>
      <c r="P47" s="294">
        <f>SUM(P18:P45)</f>
        <v>0</v>
      </c>
      <c r="Q47" s="459">
        <v>86635</v>
      </c>
      <c r="R47" s="294">
        <f ca="1">SUM(R18:R45)</f>
        <v>216645.16603962734</v>
      </c>
      <c r="S47" s="294">
        <f>SUM(S18:S45)</f>
        <v>0</v>
      </c>
      <c r="T47" s="296">
        <f ca="1">SUM(T18:T45)</f>
        <v>7687111.3927888982</v>
      </c>
      <c r="V47" s="296">
        <f ca="1">SUM(V18:V45)</f>
        <v>130010.16603962737</v>
      </c>
      <c r="W47" s="236" t="s">
        <v>261</v>
      </c>
      <c r="AB47" s="294">
        <f t="shared" ref="AB47" si="29">SUM(AB18:AB45)</f>
        <v>0</v>
      </c>
    </row>
    <row r="48" spans="1:28" ht="13.5" thickBot="1">
      <c r="A48" s="291"/>
      <c r="B48" s="291"/>
      <c r="C48" s="297"/>
      <c r="D48" s="291"/>
      <c r="E48" s="304" t="str">
        <f ca="1">IF(E47=PSO.WS.F.BPU.ATRR.Projected!M19,"","Error")</f>
        <v/>
      </c>
      <c r="F48" s="322" t="str">
        <f ca="1">IF(F47=PSO.WS.F.BPU.ATRR.Projected!O19,"","Error")</f>
        <v/>
      </c>
      <c r="G48" s="322" t="str">
        <f ca="1">IF(G47=PSO.WS.F.BPU.ATRR.Projected!N19,"","Error")</f>
        <v/>
      </c>
      <c r="H48" s="291"/>
      <c r="I48" s="353"/>
      <c r="J48" s="354"/>
      <c r="L48" s="298"/>
      <c r="M48" s="298"/>
      <c r="N48" s="298"/>
      <c r="O48" s="298"/>
      <c r="P48" s="298"/>
      <c r="Q48" s="383" t="str">
        <f ca="1">IF(Q47=SUM(Q18:Q45),"","Error -- check allocations above).")</f>
        <v/>
      </c>
      <c r="R48" s="294"/>
      <c r="S48" s="294"/>
      <c r="T48" s="294"/>
      <c r="V48" s="349"/>
      <c r="W48" s="236"/>
      <c r="AB48" s="365"/>
    </row>
    <row r="49" spans="1:28">
      <c r="A49" s="291"/>
      <c r="B49" s="291"/>
      <c r="C49" s="299" t="s">
        <v>208</v>
      </c>
      <c r="D49" s="291"/>
      <c r="E49" s="294"/>
      <c r="F49" s="294"/>
      <c r="G49" s="294"/>
      <c r="H49" s="291"/>
      <c r="I49" s="355"/>
      <c r="J49" s="355"/>
      <c r="K49" s="291"/>
      <c r="L49" s="291"/>
      <c r="M49" s="291"/>
      <c r="N49" s="298"/>
      <c r="O49" s="298"/>
      <c r="P49" s="298"/>
      <c r="Q49" s="298"/>
      <c r="R49" s="294"/>
      <c r="S49" s="294"/>
      <c r="T49" s="294"/>
      <c r="AB49" s="365"/>
    </row>
    <row r="50" spans="1:28">
      <c r="A50" s="291"/>
      <c r="B50" s="291"/>
      <c r="C50" s="299"/>
      <c r="D50" s="291"/>
      <c r="E50" s="294"/>
      <c r="F50" s="294"/>
      <c r="G50" s="294"/>
      <c r="H50" s="291"/>
      <c r="I50" s="365"/>
      <c r="J50" s="300"/>
      <c r="K50" s="293"/>
      <c r="L50" s="291"/>
      <c r="M50" s="291"/>
      <c r="N50" s="298"/>
      <c r="O50" s="298"/>
      <c r="P50" s="298"/>
      <c r="Q50" s="298"/>
      <c r="R50" s="298"/>
      <c r="S50" s="291"/>
      <c r="T50" s="291"/>
    </row>
    <row r="51" spans="1:28">
      <c r="E51" s="10"/>
      <c r="F51" s="10"/>
      <c r="G51" s="10"/>
      <c r="I51" s="10"/>
      <c r="J51" s="347"/>
      <c r="N51" s="283"/>
      <c r="O51" s="283"/>
      <c r="P51" s="283"/>
      <c r="Q51" s="457"/>
      <c r="R51" s="283"/>
    </row>
    <row r="52" spans="1:28">
      <c r="E52" s="10"/>
      <c r="F52" s="10"/>
      <c r="G52" s="10"/>
    </row>
    <row r="53" spans="1:28">
      <c r="A53" s="306" t="s">
        <v>182</v>
      </c>
      <c r="B53" s="307"/>
      <c r="C53" s="307"/>
      <c r="D53" s="307"/>
      <c r="E53" s="308"/>
      <c r="F53" s="308"/>
      <c r="G53" s="308"/>
      <c r="H53" s="307"/>
      <c r="I53" s="307"/>
      <c r="J53" s="307"/>
      <c r="K53" s="307"/>
      <c r="L53" s="307"/>
      <c r="M53" s="307"/>
      <c r="N53" s="307"/>
      <c r="O53" s="234"/>
      <c r="V53" t="s">
        <v>193</v>
      </c>
    </row>
    <row r="54" spans="1:28" ht="15.75">
      <c r="A54" s="309" t="s">
        <v>185</v>
      </c>
      <c r="B54" s="7"/>
      <c r="C54" s="310" t="str">
        <f ca="1">RIGHT(CELL("address",P.001!D7),4)</f>
        <v>$D$7</v>
      </c>
      <c r="D54" s="310" t="str">
        <f ca="1">RIGHT(CELL("address",P.001!D11),4)</f>
        <v>D$11</v>
      </c>
      <c r="E54" s="310" t="str">
        <f ca="1">RIGHT(CELL("address",P.001!N5),4)</f>
        <v>$N$5</v>
      </c>
      <c r="F54" s="310" t="str">
        <f ca="1">RIGHT(CELL("address",P.001!N7),4)</f>
        <v>$N$7</v>
      </c>
      <c r="G54" s="7"/>
      <c r="H54" s="311"/>
      <c r="I54" s="310" t="str">
        <f ca="1">RIGHT(CELL("address",P.001!M89),4)</f>
        <v>M$89</v>
      </c>
      <c r="J54" s="310"/>
      <c r="K54" s="7"/>
      <c r="L54" s="7"/>
      <c r="M54" s="7"/>
      <c r="N54" s="310" t="str">
        <f ca="1">RIGHT(CELL("address",P.001!N87),4)</f>
        <v>N$87</v>
      </c>
      <c r="O54" s="312" t="str">
        <f ca="1">RIGHT(CELL("address",P.001!N88),4)</f>
        <v>N$88</v>
      </c>
      <c r="P54" s="49" t="s">
        <v>184</v>
      </c>
      <c r="V54" t="s">
        <v>194</v>
      </c>
    </row>
    <row r="55" spans="1:28">
      <c r="A55" s="313" t="s">
        <v>186</v>
      </c>
      <c r="B55" s="314"/>
      <c r="C55" s="314"/>
      <c r="D55" s="314"/>
      <c r="E55" s="282"/>
      <c r="F55" s="282"/>
      <c r="G55" s="282"/>
      <c r="H55" s="314"/>
      <c r="I55" s="314"/>
      <c r="J55" s="314"/>
      <c r="K55" s="314"/>
      <c r="L55" s="314"/>
      <c r="M55" s="314"/>
      <c r="N55" s="314"/>
      <c r="O55" s="315"/>
      <c r="V55" t="s">
        <v>195</v>
      </c>
    </row>
    <row r="56" spans="1:28">
      <c r="E56" s="10"/>
      <c r="F56" s="10"/>
      <c r="G56" s="10"/>
      <c r="V56" t="s">
        <v>196</v>
      </c>
    </row>
    <row r="57" spans="1:28">
      <c r="A57" s="1" t="s">
        <v>234</v>
      </c>
      <c r="B57" s="1" t="s">
        <v>235</v>
      </c>
      <c r="E57" s="10"/>
      <c r="F57" s="10"/>
      <c r="G57" s="10"/>
      <c r="V57" s="232" t="s">
        <v>215</v>
      </c>
    </row>
    <row r="58" spans="1:28">
      <c r="B58" s="1" t="s">
        <v>238</v>
      </c>
      <c r="E58" s="10"/>
      <c r="F58" s="10"/>
      <c r="G58" s="10"/>
    </row>
    <row r="59" spans="1:28">
      <c r="B59" s="1" t="s">
        <v>239</v>
      </c>
      <c r="E59" s="10"/>
      <c r="F59" s="10"/>
      <c r="G59" s="10"/>
    </row>
    <row r="60" spans="1:28">
      <c r="B60" s="1" t="s">
        <v>236</v>
      </c>
      <c r="E60" s="10"/>
      <c r="F60" s="10"/>
      <c r="G60" s="10"/>
    </row>
    <row r="61" spans="1:28">
      <c r="B61" s="1" t="s">
        <v>237</v>
      </c>
      <c r="E61" s="10"/>
      <c r="F61" s="10"/>
      <c r="G61" s="10"/>
      <c r="K61" s="348"/>
    </row>
    <row r="62" spans="1:28">
      <c r="B62" s="1" t="s">
        <v>240</v>
      </c>
      <c r="E62" s="10"/>
      <c r="F62" s="10"/>
      <c r="G62" s="10"/>
    </row>
    <row r="63" spans="1:28">
      <c r="E63" s="10"/>
      <c r="F63" s="10"/>
      <c r="G63" s="10"/>
    </row>
    <row r="64" spans="1:28">
      <c r="E64" s="10"/>
      <c r="F64" s="10"/>
      <c r="G64" s="10"/>
    </row>
    <row r="65" spans="5:7">
      <c r="E65" s="10"/>
      <c r="F65" s="10"/>
      <c r="G65" s="10"/>
    </row>
    <row r="66" spans="5:7">
      <c r="E66" s="10"/>
      <c r="F66" s="10"/>
      <c r="G66" s="10"/>
    </row>
    <row r="67" spans="5:7">
      <c r="E67" s="10"/>
      <c r="F67" s="10"/>
      <c r="G67" s="10"/>
    </row>
  </sheetData>
  <mergeCells count="2">
    <mergeCell ref="E13:G13"/>
    <mergeCell ref="T14:T16"/>
  </mergeCells>
  <phoneticPr fontId="62" type="noConversion"/>
  <pageMargins left="0.5" right="0.5" top="1" bottom="1" header="0.65" footer="0.5"/>
  <pageSetup scale="52" orientation="landscape" r:id="rId1"/>
  <headerFooter alignWithMargins="0">
    <oddHeader xml:space="preserve">&amp;R&amp;16AEP - SPP Formula Rate
Schedule 11 Revenue Requirements
Public Service Company of Oklahoma
Page: &amp;P of &amp;N
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C00000"/>
  </sheetPr>
  <dimension ref="A1:P162"/>
  <sheetViews>
    <sheetView view="pageBreakPreview" zoomScale="75" zoomScaleNormal="10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7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9641.8875876125348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9641.8875876125348</v>
      </c>
      <c r="O6" s="1"/>
      <c r="P6" s="1"/>
    </row>
    <row r="7" spans="1:16" ht="13.5" thickBot="1">
      <c r="C7" s="127" t="s">
        <v>41</v>
      </c>
      <c r="D7" s="343" t="s">
        <v>205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81</v>
      </c>
      <c r="E9" s="428" t="s">
        <v>307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84424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IF(D10=0,0,ROUND(D10/D13,0))</f>
        <v>2111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2007</v>
      </c>
      <c r="D17" s="366">
        <v>84424</v>
      </c>
      <c r="E17" s="367">
        <v>0</v>
      </c>
      <c r="F17" s="366">
        <v>84424</v>
      </c>
      <c r="G17" s="367">
        <v>0</v>
      </c>
      <c r="H17" s="370">
        <v>0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2008</v>
      </c>
      <c r="D18" s="371">
        <v>84424</v>
      </c>
      <c r="E18" s="368">
        <v>1508</v>
      </c>
      <c r="F18" s="371">
        <v>82916</v>
      </c>
      <c r="G18" s="368">
        <v>0</v>
      </c>
      <c r="H18" s="370">
        <v>0</v>
      </c>
      <c r="I18" s="160">
        <f t="shared" si="0"/>
        <v>0</v>
      </c>
      <c r="J18" s="160"/>
      <c r="K18" s="338">
        <v>0</v>
      </c>
      <c r="L18" s="162">
        <f t="shared" si="1"/>
        <v>0</v>
      </c>
      <c r="M18" s="338">
        <v>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2009</v>
      </c>
      <c r="D19" s="371">
        <v>82916</v>
      </c>
      <c r="E19" s="368">
        <v>1508</v>
      </c>
      <c r="F19" s="371">
        <v>81408</v>
      </c>
      <c r="G19" s="368">
        <v>0</v>
      </c>
      <c r="H19" s="370">
        <v>0</v>
      </c>
      <c r="I19" s="160">
        <f t="shared" si="0"/>
        <v>0</v>
      </c>
      <c r="J19" s="160"/>
      <c r="K19" s="338">
        <v>0</v>
      </c>
      <c r="L19" s="162">
        <f t="shared" si="1"/>
        <v>0</v>
      </c>
      <c r="M19" s="338">
        <v>0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4">IF(D20=F19,"","IU")</f>
        <v/>
      </c>
      <c r="C20" s="157">
        <f>IF(D11="","-",+C19+1)</f>
        <v>2010</v>
      </c>
      <c r="D20" s="371">
        <v>81408</v>
      </c>
      <c r="E20" s="368">
        <v>1508</v>
      </c>
      <c r="F20" s="371">
        <v>79900</v>
      </c>
      <c r="G20" s="368">
        <v>13037.291488737637</v>
      </c>
      <c r="H20" s="370">
        <v>13037.291488737637</v>
      </c>
      <c r="I20" s="160">
        <v>0</v>
      </c>
      <c r="J20" s="160"/>
      <c r="K20" s="380">
        <f t="shared" ref="K20:K25" si="5">G20</f>
        <v>13037.291488737637</v>
      </c>
      <c r="L20" s="381">
        <f t="shared" si="1"/>
        <v>0</v>
      </c>
      <c r="M20" s="380">
        <f t="shared" ref="M20:M25" si="6">H20</f>
        <v>13037.291488737637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2011</v>
      </c>
      <c r="D21" s="371">
        <v>79900</v>
      </c>
      <c r="E21" s="368">
        <v>1655</v>
      </c>
      <c r="F21" s="371">
        <v>78245</v>
      </c>
      <c r="G21" s="368">
        <v>13903.733792156472</v>
      </c>
      <c r="H21" s="370">
        <v>13903.733792156472</v>
      </c>
      <c r="I21" s="160">
        <f t="shared" si="0"/>
        <v>0</v>
      </c>
      <c r="J21" s="160"/>
      <c r="K21" s="338">
        <f t="shared" si="5"/>
        <v>13903.733792156472</v>
      </c>
      <c r="L21" s="272">
        <f t="shared" si="1"/>
        <v>0</v>
      </c>
      <c r="M21" s="338">
        <f t="shared" si="6"/>
        <v>13903.733792156472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2012</v>
      </c>
      <c r="D22" s="371">
        <v>78245</v>
      </c>
      <c r="E22" s="368">
        <v>1624</v>
      </c>
      <c r="F22" s="371">
        <v>76621</v>
      </c>
      <c r="G22" s="368">
        <v>12290.159159207155</v>
      </c>
      <c r="H22" s="370">
        <v>12290.159159207155</v>
      </c>
      <c r="I22" s="160">
        <f t="shared" si="0"/>
        <v>0</v>
      </c>
      <c r="J22" s="160"/>
      <c r="K22" s="338">
        <f t="shared" si="5"/>
        <v>12290.159159207155</v>
      </c>
      <c r="L22" s="272">
        <f t="shared" si="1"/>
        <v>0</v>
      </c>
      <c r="M22" s="338">
        <f t="shared" si="6"/>
        <v>12290.159159207155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2013</v>
      </c>
      <c r="D23" s="371">
        <v>76621</v>
      </c>
      <c r="E23" s="368">
        <v>1624</v>
      </c>
      <c r="F23" s="371">
        <v>74997</v>
      </c>
      <c r="G23" s="368">
        <v>12334.078606810854</v>
      </c>
      <c r="H23" s="370">
        <v>12334.078606810854</v>
      </c>
      <c r="I23" s="160">
        <v>0</v>
      </c>
      <c r="J23" s="160"/>
      <c r="K23" s="338">
        <f t="shared" si="5"/>
        <v>12334.078606810854</v>
      </c>
      <c r="L23" s="272">
        <f t="shared" ref="L23:L28" si="7">IF(K23&lt;&gt;0,+G23-K23,0)</f>
        <v>0</v>
      </c>
      <c r="M23" s="338">
        <f t="shared" si="6"/>
        <v>12334.078606810854</v>
      </c>
      <c r="N23" s="162">
        <f t="shared" ref="N23:N28" si="8">IF(M23&lt;&gt;0,+H23-M23,0)</f>
        <v>0</v>
      </c>
      <c r="O23" s="162">
        <f t="shared" ref="O23:O28" si="9">+N23-L23</f>
        <v>0</v>
      </c>
      <c r="P23" s="4"/>
    </row>
    <row r="24" spans="2:16">
      <c r="B24" s="9" t="str">
        <f t="shared" si="4"/>
        <v/>
      </c>
      <c r="C24" s="157">
        <f>IF(D11="","-",+C23+1)</f>
        <v>2014</v>
      </c>
      <c r="D24" s="371">
        <v>74997</v>
      </c>
      <c r="E24" s="368">
        <v>1624</v>
      </c>
      <c r="F24" s="371">
        <v>73373</v>
      </c>
      <c r="G24" s="368">
        <v>11724.436761777028</v>
      </c>
      <c r="H24" s="370">
        <v>11724.436761777028</v>
      </c>
      <c r="I24" s="160">
        <v>0</v>
      </c>
      <c r="J24" s="160"/>
      <c r="K24" s="338">
        <f t="shared" si="5"/>
        <v>11724.436761777028</v>
      </c>
      <c r="L24" s="272">
        <f t="shared" si="7"/>
        <v>0</v>
      </c>
      <c r="M24" s="338">
        <f t="shared" si="6"/>
        <v>11724.436761777028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4"/>
        <v/>
      </c>
      <c r="C25" s="157">
        <f>IF(D11="","-",+C24+1)</f>
        <v>2015</v>
      </c>
      <c r="D25" s="371">
        <v>73373</v>
      </c>
      <c r="E25" s="368">
        <v>1624</v>
      </c>
      <c r="F25" s="371">
        <v>71749</v>
      </c>
      <c r="G25" s="368">
        <v>11516.153501332747</v>
      </c>
      <c r="H25" s="370">
        <v>11516.153501332747</v>
      </c>
      <c r="I25" s="160">
        <v>0</v>
      </c>
      <c r="J25" s="160"/>
      <c r="K25" s="338">
        <f t="shared" si="5"/>
        <v>11516.153501332747</v>
      </c>
      <c r="L25" s="272">
        <f t="shared" si="7"/>
        <v>0</v>
      </c>
      <c r="M25" s="338">
        <f t="shared" si="6"/>
        <v>11516.153501332747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4"/>
        <v/>
      </c>
      <c r="C26" s="157">
        <f>IF(D11="","-",+C25+1)</f>
        <v>2016</v>
      </c>
      <c r="D26" s="371">
        <v>71749</v>
      </c>
      <c r="E26" s="368">
        <v>1624</v>
      </c>
      <c r="F26" s="371">
        <v>70125</v>
      </c>
      <c r="G26" s="368">
        <v>10821.569336122064</v>
      </c>
      <c r="H26" s="370">
        <v>10821.569336122064</v>
      </c>
      <c r="I26" s="160">
        <f t="shared" si="0"/>
        <v>0</v>
      </c>
      <c r="J26" s="160"/>
      <c r="K26" s="338">
        <f>G26</f>
        <v>10821.569336122064</v>
      </c>
      <c r="L26" s="272">
        <f t="shared" si="7"/>
        <v>0</v>
      </c>
      <c r="M26" s="338">
        <f>H26</f>
        <v>10821.569336122064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4"/>
        <v/>
      </c>
      <c r="C27" s="157">
        <f>IF(D11="","-",+C26+1)</f>
        <v>2017</v>
      </c>
      <c r="D27" s="371">
        <v>70125</v>
      </c>
      <c r="E27" s="368">
        <v>1835</v>
      </c>
      <c r="F27" s="371">
        <v>68290</v>
      </c>
      <c r="G27" s="368">
        <v>10525.630109322938</v>
      </c>
      <c r="H27" s="370">
        <v>10525.630109322938</v>
      </c>
      <c r="I27" s="160">
        <v>0</v>
      </c>
      <c r="J27" s="160"/>
      <c r="K27" s="338">
        <f>G27</f>
        <v>10525.630109322938</v>
      </c>
      <c r="L27" s="272">
        <f t="shared" si="7"/>
        <v>0</v>
      </c>
      <c r="M27" s="338">
        <f>H27</f>
        <v>10525.630109322938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4"/>
        <v/>
      </c>
      <c r="C28" s="157">
        <f>IF(D11="","-",+C27+1)</f>
        <v>2018</v>
      </c>
      <c r="D28" s="371">
        <v>68290</v>
      </c>
      <c r="E28" s="368">
        <v>1876</v>
      </c>
      <c r="F28" s="371">
        <v>66414</v>
      </c>
      <c r="G28" s="368">
        <v>9942.0041745497692</v>
      </c>
      <c r="H28" s="370">
        <v>9942.0041745497692</v>
      </c>
      <c r="I28" s="160">
        <f t="shared" si="0"/>
        <v>0</v>
      </c>
      <c r="J28" s="160"/>
      <c r="K28" s="338">
        <f>G28</f>
        <v>9942.0041745497692</v>
      </c>
      <c r="L28" s="272">
        <f t="shared" si="7"/>
        <v>0</v>
      </c>
      <c r="M28" s="338">
        <f>H28</f>
        <v>9942.0041745497692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4"/>
        <v/>
      </c>
      <c r="C29" s="157">
        <f>IF(D11="","-",+C28+1)</f>
        <v>2019</v>
      </c>
      <c r="D29" s="163">
        <f>IF(F28+SUM(E$17:E28)=D$10,F28,D$10-SUM(E$17:E28))</f>
        <v>66414</v>
      </c>
      <c r="E29" s="164">
        <f>IF(+I14&lt;F28,I14,D29)</f>
        <v>2111</v>
      </c>
      <c r="F29" s="163">
        <f t="shared" ref="F29:F48" si="10">+D29-E29</f>
        <v>64303</v>
      </c>
      <c r="G29" s="165">
        <f t="shared" ref="G29:G72" si="11">(D29+F29)/2*I$12+E29</f>
        <v>9641.8875876125348</v>
      </c>
      <c r="H29" s="147">
        <f t="shared" ref="H29:H72" si="12">+(D29+F29)/2*I$13+E29</f>
        <v>9641.8875876125348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4"/>
        <v/>
      </c>
      <c r="C30" s="157">
        <f>IF(D11="","-",+C29+1)</f>
        <v>2020</v>
      </c>
      <c r="D30" s="163">
        <f>IF(F29+SUM(E$17:E29)=D$10,F29,D$10-SUM(E$17:E29))</f>
        <v>64303</v>
      </c>
      <c r="E30" s="164">
        <f>IF(+I14&lt;F29,I14,D30)</f>
        <v>2111</v>
      </c>
      <c r="F30" s="163">
        <f t="shared" si="10"/>
        <v>62192</v>
      </c>
      <c r="G30" s="165">
        <f t="shared" si="11"/>
        <v>9398.6490846259294</v>
      </c>
      <c r="H30" s="147">
        <f t="shared" si="12"/>
        <v>9398.6490846259294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2021</v>
      </c>
      <c r="D31" s="163">
        <f>IF(F30+SUM(E$17:E30)=D$10,F30,D$10-SUM(E$17:E30))</f>
        <v>62192</v>
      </c>
      <c r="E31" s="164">
        <f>IF(+I14&lt;F30,I14,D31)</f>
        <v>2111</v>
      </c>
      <c r="F31" s="163">
        <f t="shared" si="10"/>
        <v>60081</v>
      </c>
      <c r="G31" s="165">
        <f t="shared" si="11"/>
        <v>9155.4105816393239</v>
      </c>
      <c r="H31" s="147">
        <f t="shared" si="12"/>
        <v>9155.4105816393239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2022</v>
      </c>
      <c r="D32" s="163">
        <f>IF(F31+SUM(E$17:E31)=D$10,F31,D$10-SUM(E$17:E31))</f>
        <v>60081</v>
      </c>
      <c r="E32" s="164">
        <f>IF(+I14&lt;F31,I14,D32)</f>
        <v>2111</v>
      </c>
      <c r="F32" s="163">
        <f t="shared" si="10"/>
        <v>57970</v>
      </c>
      <c r="G32" s="165">
        <f t="shared" si="11"/>
        <v>8912.1720786527185</v>
      </c>
      <c r="H32" s="147">
        <f t="shared" si="12"/>
        <v>8912.1720786527185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2023</v>
      </c>
      <c r="D33" s="163">
        <f>IF(F32+SUM(E$17:E32)=D$10,F32,D$10-SUM(E$17:E32))</f>
        <v>57970</v>
      </c>
      <c r="E33" s="164">
        <f>IF(+I14&lt;F32,I14,D33)</f>
        <v>2111</v>
      </c>
      <c r="F33" s="163">
        <f t="shared" si="10"/>
        <v>55859</v>
      </c>
      <c r="G33" s="165">
        <f t="shared" si="11"/>
        <v>8668.933575666113</v>
      </c>
      <c r="H33" s="147">
        <f t="shared" si="12"/>
        <v>8668.933575666113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2024</v>
      </c>
      <c r="D34" s="163">
        <f>IF(F33+SUM(E$17:E33)=D$10,F33,D$10-SUM(E$17:E33))</f>
        <v>55859</v>
      </c>
      <c r="E34" s="164">
        <f>IF(+I14&lt;F33,I14,D34)</f>
        <v>2111</v>
      </c>
      <c r="F34" s="163">
        <f t="shared" si="10"/>
        <v>53748</v>
      </c>
      <c r="G34" s="165">
        <f t="shared" si="11"/>
        <v>8425.6950726795076</v>
      </c>
      <c r="H34" s="147">
        <f t="shared" si="12"/>
        <v>8425.6950726795076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2025</v>
      </c>
      <c r="D35" s="163">
        <f>IF(F34+SUM(E$17:E34)=D$10,F34,D$10-SUM(E$17:E34))</f>
        <v>53748</v>
      </c>
      <c r="E35" s="164">
        <f>IF(+I14&lt;F34,I14,D35)</f>
        <v>2111</v>
      </c>
      <c r="F35" s="163">
        <f t="shared" si="10"/>
        <v>51637</v>
      </c>
      <c r="G35" s="165">
        <f t="shared" si="11"/>
        <v>8182.4565696929021</v>
      </c>
      <c r="H35" s="147">
        <f t="shared" si="12"/>
        <v>8182.4565696929021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2026</v>
      </c>
      <c r="D36" s="163">
        <f>IF(F35+SUM(E$17:E35)=D$10,F35,D$10-SUM(E$17:E35))</f>
        <v>51637</v>
      </c>
      <c r="E36" s="164">
        <f>IF(+I14&lt;F35,I14,D36)</f>
        <v>2111</v>
      </c>
      <c r="F36" s="163">
        <f t="shared" si="10"/>
        <v>49526</v>
      </c>
      <c r="G36" s="165">
        <f t="shared" si="11"/>
        <v>7939.2180667062958</v>
      </c>
      <c r="H36" s="147">
        <f t="shared" si="12"/>
        <v>7939.2180667062958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2027</v>
      </c>
      <c r="D37" s="163">
        <f>IF(F36+SUM(E$17:E36)=D$10,F36,D$10-SUM(E$17:E36))</f>
        <v>49526</v>
      </c>
      <c r="E37" s="164">
        <f>IF(+I14&lt;F36,I14,D37)</f>
        <v>2111</v>
      </c>
      <c r="F37" s="163">
        <f t="shared" si="10"/>
        <v>47415</v>
      </c>
      <c r="G37" s="165">
        <f t="shared" si="11"/>
        <v>7695.9795637196903</v>
      </c>
      <c r="H37" s="147">
        <f t="shared" si="12"/>
        <v>7695.9795637196903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4"/>
        <v/>
      </c>
      <c r="C38" s="157">
        <f>IF(D11="","-",+C37+1)</f>
        <v>2028</v>
      </c>
      <c r="D38" s="163">
        <f>IF(F37+SUM(E$17:E37)=D$10,F37,D$10-SUM(E$17:E37))</f>
        <v>47415</v>
      </c>
      <c r="E38" s="164">
        <f>IF(+I14&lt;F37,I14,D38)</f>
        <v>2111</v>
      </c>
      <c r="F38" s="163">
        <f t="shared" si="10"/>
        <v>45304</v>
      </c>
      <c r="G38" s="165">
        <f t="shared" si="11"/>
        <v>7452.7410607330849</v>
      </c>
      <c r="H38" s="147">
        <f t="shared" si="12"/>
        <v>7452.7410607330849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2029</v>
      </c>
      <c r="D39" s="163">
        <f>IF(F38+SUM(E$17:E38)=D$10,F38,D$10-SUM(E$17:E38))</f>
        <v>45304</v>
      </c>
      <c r="E39" s="164">
        <f>IF(+I14&lt;F38,I14,D39)</f>
        <v>2111</v>
      </c>
      <c r="F39" s="163">
        <f t="shared" si="10"/>
        <v>43193</v>
      </c>
      <c r="G39" s="165">
        <f t="shared" si="11"/>
        <v>7209.5025577464794</v>
      </c>
      <c r="H39" s="147">
        <f t="shared" si="12"/>
        <v>7209.5025577464794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2030</v>
      </c>
      <c r="D40" s="163">
        <f>IF(F39+SUM(E$17:E39)=D$10,F39,D$10-SUM(E$17:E39))</f>
        <v>43193</v>
      </c>
      <c r="E40" s="164">
        <f>IF(+I14&lt;F39,I14,D40)</f>
        <v>2111</v>
      </c>
      <c r="F40" s="163">
        <f t="shared" si="10"/>
        <v>41082</v>
      </c>
      <c r="G40" s="165">
        <f t="shared" si="11"/>
        <v>6966.2640547598739</v>
      </c>
      <c r="H40" s="147">
        <f t="shared" si="12"/>
        <v>6966.2640547598739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2031</v>
      </c>
      <c r="D41" s="163">
        <f>IF(F40+SUM(E$17:E40)=D$10,F40,D$10-SUM(E$17:E40))</f>
        <v>41082</v>
      </c>
      <c r="E41" s="164">
        <f>IF(+I14&lt;F40,I14,D41)</f>
        <v>2111</v>
      </c>
      <c r="F41" s="163">
        <f t="shared" si="10"/>
        <v>38971</v>
      </c>
      <c r="G41" s="165">
        <f t="shared" si="11"/>
        <v>6723.0255517732685</v>
      </c>
      <c r="H41" s="147">
        <f t="shared" si="12"/>
        <v>6723.0255517732685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2032</v>
      </c>
      <c r="D42" s="163">
        <f>IF(F41+SUM(E$17:E41)=D$10,F41,D$10-SUM(E$17:E41))</f>
        <v>38971</v>
      </c>
      <c r="E42" s="164">
        <f>IF(+I14&lt;F41,I14,D42)</f>
        <v>2111</v>
      </c>
      <c r="F42" s="163">
        <f t="shared" si="10"/>
        <v>36860</v>
      </c>
      <c r="G42" s="165">
        <f t="shared" si="11"/>
        <v>6479.7870487866621</v>
      </c>
      <c r="H42" s="147">
        <f t="shared" si="12"/>
        <v>6479.7870487866621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2033</v>
      </c>
      <c r="D43" s="163">
        <f>IF(F42+SUM(E$17:E42)=D$10,F42,D$10-SUM(E$17:E42))</f>
        <v>36860</v>
      </c>
      <c r="E43" s="164">
        <f>IF(+I14&lt;F42,I14,D43)</f>
        <v>2111</v>
      </c>
      <c r="F43" s="163">
        <f t="shared" si="10"/>
        <v>34749</v>
      </c>
      <c r="G43" s="165">
        <f t="shared" si="11"/>
        <v>6236.5485458000567</v>
      </c>
      <c r="H43" s="147">
        <f t="shared" si="12"/>
        <v>6236.5485458000567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2034</v>
      </c>
      <c r="D44" s="163">
        <f>IF(F43+SUM(E$17:E43)=D$10,F43,D$10-SUM(E$17:E43))</f>
        <v>34749</v>
      </c>
      <c r="E44" s="164">
        <f>IF(+I14&lt;F43,I14,D44)</f>
        <v>2111</v>
      </c>
      <c r="F44" s="163">
        <f t="shared" si="10"/>
        <v>32638</v>
      </c>
      <c r="G44" s="165">
        <f t="shared" si="11"/>
        <v>5993.3100428134512</v>
      </c>
      <c r="H44" s="147">
        <f t="shared" si="12"/>
        <v>5993.3100428134512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2035</v>
      </c>
      <c r="D45" s="163">
        <f>IF(F44+SUM(E$17:E44)=D$10,F44,D$10-SUM(E$17:E44))</f>
        <v>32638</v>
      </c>
      <c r="E45" s="164">
        <f>IF(+I14&lt;F44,I14,D45)</f>
        <v>2111</v>
      </c>
      <c r="F45" s="163">
        <f t="shared" si="10"/>
        <v>30527</v>
      </c>
      <c r="G45" s="165">
        <f t="shared" si="11"/>
        <v>5750.0715398268458</v>
      </c>
      <c r="H45" s="147">
        <f t="shared" si="12"/>
        <v>5750.0715398268458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2036</v>
      </c>
      <c r="D46" s="163">
        <f>IF(F45+SUM(E$17:E45)=D$10,F45,D$10-SUM(E$17:E45))</f>
        <v>30527</v>
      </c>
      <c r="E46" s="164">
        <f>IF(+I14&lt;F45,I14,D46)</f>
        <v>2111</v>
      </c>
      <c r="F46" s="163">
        <f t="shared" si="10"/>
        <v>28416</v>
      </c>
      <c r="G46" s="165">
        <f t="shared" si="11"/>
        <v>5506.8330368402403</v>
      </c>
      <c r="H46" s="147">
        <f t="shared" si="12"/>
        <v>5506.8330368402403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2037</v>
      </c>
      <c r="D47" s="163">
        <f>IF(F46+SUM(E$17:E46)=D$10,F46,D$10-SUM(E$17:E46))</f>
        <v>28416</v>
      </c>
      <c r="E47" s="164">
        <f>IF(+I14&lt;F46,I14,D47)</f>
        <v>2111</v>
      </c>
      <c r="F47" s="163">
        <f t="shared" si="10"/>
        <v>26305</v>
      </c>
      <c r="G47" s="165">
        <f t="shared" si="11"/>
        <v>5263.5945338536349</v>
      </c>
      <c r="H47" s="147">
        <f t="shared" si="12"/>
        <v>5263.5945338536349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2038</v>
      </c>
      <c r="D48" s="163">
        <f>IF(F47+SUM(E$17:E47)=D$10,F47,D$10-SUM(E$17:E47))</f>
        <v>26305</v>
      </c>
      <c r="E48" s="164">
        <f>IF(+I14&lt;F47,I14,D48)</f>
        <v>2111</v>
      </c>
      <c r="F48" s="163">
        <f t="shared" si="10"/>
        <v>24194</v>
      </c>
      <c r="G48" s="165">
        <f t="shared" si="11"/>
        <v>5020.3560308670294</v>
      </c>
      <c r="H48" s="147">
        <f t="shared" si="12"/>
        <v>5020.3560308670294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2039</v>
      </c>
      <c r="D49" s="163">
        <f>IF(F48+SUM(E$17:E48)=D$10,F48,D$10-SUM(E$17:E48))</f>
        <v>24194</v>
      </c>
      <c r="E49" s="164">
        <f>IF(+I14&lt;F48,I14,D49)</f>
        <v>2111</v>
      </c>
      <c r="F49" s="163">
        <f t="shared" ref="F49:F72" si="13">+D49-E49</f>
        <v>22083</v>
      </c>
      <c r="G49" s="165">
        <f t="shared" si="11"/>
        <v>4777.1175278804239</v>
      </c>
      <c r="H49" s="147">
        <f t="shared" si="12"/>
        <v>4777.1175278804239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4"/>
        <v/>
      </c>
      <c r="C50" s="157">
        <f>IF(D11="","-",+C49+1)</f>
        <v>2040</v>
      </c>
      <c r="D50" s="163">
        <f>IF(F49+SUM(E$17:E49)=D$10,F49,D$10-SUM(E$17:E49))</f>
        <v>22083</v>
      </c>
      <c r="E50" s="164">
        <f>IF(+I14&lt;F49,I14,D50)</f>
        <v>2111</v>
      </c>
      <c r="F50" s="163">
        <f t="shared" si="13"/>
        <v>19972</v>
      </c>
      <c r="G50" s="165">
        <f t="shared" si="11"/>
        <v>4533.8790248938176</v>
      </c>
      <c r="H50" s="147">
        <f t="shared" si="12"/>
        <v>4533.8790248938176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4"/>
        <v/>
      </c>
      <c r="C51" s="157">
        <f>IF(D11="","-",+C50+1)</f>
        <v>2041</v>
      </c>
      <c r="D51" s="163">
        <f>IF(F50+SUM(E$17:E50)=D$10,F50,D$10-SUM(E$17:E50))</f>
        <v>19972</v>
      </c>
      <c r="E51" s="164">
        <f>IF(+I14&lt;F50,I14,D51)</f>
        <v>2111</v>
      </c>
      <c r="F51" s="163">
        <f t="shared" si="13"/>
        <v>17861</v>
      </c>
      <c r="G51" s="165">
        <f t="shared" si="11"/>
        <v>4290.6405219072121</v>
      </c>
      <c r="H51" s="147">
        <f t="shared" si="12"/>
        <v>4290.6405219072121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4"/>
        <v/>
      </c>
      <c r="C52" s="157">
        <f>IF(D11="","-",+C51+1)</f>
        <v>2042</v>
      </c>
      <c r="D52" s="163">
        <f>IF(F51+SUM(E$17:E51)=D$10,F51,D$10-SUM(E$17:E51))</f>
        <v>17861</v>
      </c>
      <c r="E52" s="164">
        <f>IF(+I14&lt;F51,I14,D52)</f>
        <v>2111</v>
      </c>
      <c r="F52" s="163">
        <f t="shared" si="13"/>
        <v>15750</v>
      </c>
      <c r="G52" s="165">
        <f t="shared" si="11"/>
        <v>4047.4020189206067</v>
      </c>
      <c r="H52" s="147">
        <f t="shared" si="12"/>
        <v>4047.4020189206067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4"/>
        <v/>
      </c>
      <c r="C53" s="157">
        <f>IF(D11="","-",+C52+1)</f>
        <v>2043</v>
      </c>
      <c r="D53" s="163">
        <f>IF(F52+SUM(E$17:E52)=D$10,F52,D$10-SUM(E$17:E52))</f>
        <v>15750</v>
      </c>
      <c r="E53" s="164">
        <f>IF(+I14&lt;F52,I14,D53)</f>
        <v>2111</v>
      </c>
      <c r="F53" s="163">
        <f t="shared" si="13"/>
        <v>13639</v>
      </c>
      <c r="G53" s="165">
        <f t="shared" si="11"/>
        <v>3804.1635159340012</v>
      </c>
      <c r="H53" s="147">
        <f t="shared" si="12"/>
        <v>3804.1635159340012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4"/>
        <v/>
      </c>
      <c r="C54" s="157">
        <f>IF(D11="","-",+C53+1)</f>
        <v>2044</v>
      </c>
      <c r="D54" s="163">
        <f>IF(F53+SUM(E$17:E53)=D$10,F53,D$10-SUM(E$17:E53))</f>
        <v>13639</v>
      </c>
      <c r="E54" s="164">
        <f>IF(+I14&lt;F53,I14,D54)</f>
        <v>2111</v>
      </c>
      <c r="F54" s="163">
        <f t="shared" si="13"/>
        <v>11528</v>
      </c>
      <c r="G54" s="165">
        <f t="shared" si="11"/>
        <v>3560.9250129473953</v>
      </c>
      <c r="H54" s="147">
        <f t="shared" si="12"/>
        <v>3560.9250129473953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4"/>
        <v/>
      </c>
      <c r="C55" s="157">
        <f>IF(D11="","-",+C54+1)</f>
        <v>2045</v>
      </c>
      <c r="D55" s="163">
        <f>IF(F54+SUM(E$17:E54)=D$10,F54,D$10-SUM(E$17:E54))</f>
        <v>11528</v>
      </c>
      <c r="E55" s="164">
        <f>IF(+I14&lt;F54,I14,D55)</f>
        <v>2111</v>
      </c>
      <c r="F55" s="163">
        <f t="shared" si="13"/>
        <v>9417</v>
      </c>
      <c r="G55" s="165">
        <f t="shared" si="11"/>
        <v>3317.6865099607894</v>
      </c>
      <c r="H55" s="147">
        <f t="shared" si="12"/>
        <v>3317.6865099607894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4"/>
        <v/>
      </c>
      <c r="C56" s="157">
        <f>IF(D11="","-",+C55+1)</f>
        <v>2046</v>
      </c>
      <c r="D56" s="163">
        <f>IF(F55+SUM(E$17:E55)=D$10,F55,D$10-SUM(E$17:E55))</f>
        <v>9417</v>
      </c>
      <c r="E56" s="164">
        <f>IF(+I14&lt;F55,I14,D56)</f>
        <v>2111</v>
      </c>
      <c r="F56" s="163">
        <f t="shared" si="13"/>
        <v>7306</v>
      </c>
      <c r="G56" s="165">
        <f t="shared" si="11"/>
        <v>3074.448006974184</v>
      </c>
      <c r="H56" s="147">
        <f t="shared" si="12"/>
        <v>3074.448006974184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4"/>
        <v/>
      </c>
      <c r="C57" s="157">
        <f>IF(D11="","-",+C56+1)</f>
        <v>2047</v>
      </c>
      <c r="D57" s="163">
        <f>IF(F56+SUM(E$17:E56)=D$10,F56,D$10-SUM(E$17:E56))</f>
        <v>7306</v>
      </c>
      <c r="E57" s="164">
        <f>IF(+I14&lt;F56,I14,D57)</f>
        <v>2111</v>
      </c>
      <c r="F57" s="163">
        <f t="shared" si="13"/>
        <v>5195</v>
      </c>
      <c r="G57" s="165">
        <f t="shared" si="11"/>
        <v>2831.2095039875785</v>
      </c>
      <c r="H57" s="147">
        <f t="shared" si="12"/>
        <v>2831.2095039875785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4"/>
        <v/>
      </c>
      <c r="C58" s="157">
        <f>IF(D11="","-",+C57+1)</f>
        <v>2048</v>
      </c>
      <c r="D58" s="163">
        <f>IF(F57+SUM(E$17:E57)=D$10,F57,D$10-SUM(E$17:E57))</f>
        <v>5195</v>
      </c>
      <c r="E58" s="164">
        <f>IF(+I14&lt;F57,I14,D58)</f>
        <v>2111</v>
      </c>
      <c r="F58" s="163">
        <f t="shared" si="13"/>
        <v>3084</v>
      </c>
      <c r="G58" s="165">
        <f t="shared" si="11"/>
        <v>2587.971001000973</v>
      </c>
      <c r="H58" s="147">
        <f t="shared" si="12"/>
        <v>2587.971001000973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4"/>
        <v/>
      </c>
      <c r="C59" s="157">
        <f>IF(D11="","-",+C58+1)</f>
        <v>2049</v>
      </c>
      <c r="D59" s="163">
        <f>IF(F58+SUM(E$17:E58)=D$10,F58,D$10-SUM(E$17:E58))</f>
        <v>3084</v>
      </c>
      <c r="E59" s="164">
        <f>IF(+I14&lt;F58,I14,D59)</f>
        <v>2111</v>
      </c>
      <c r="F59" s="163">
        <f t="shared" si="13"/>
        <v>973</v>
      </c>
      <c r="G59" s="165">
        <f t="shared" si="11"/>
        <v>2344.7324980143671</v>
      </c>
      <c r="H59" s="147">
        <f t="shared" si="12"/>
        <v>2344.7324980143671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4"/>
        <v/>
      </c>
      <c r="C60" s="157">
        <f>IF(D11="","-",+C59+1)</f>
        <v>2050</v>
      </c>
      <c r="D60" s="163">
        <f>IF(F59+SUM(E$17:E59)=D$10,F59,D$10-SUM(E$17:E59))</f>
        <v>973</v>
      </c>
      <c r="E60" s="164">
        <f>IF(+I14&lt;F59,I14,D60)</f>
        <v>973</v>
      </c>
      <c r="F60" s="163">
        <f t="shared" si="13"/>
        <v>0</v>
      </c>
      <c r="G60" s="165">
        <f t="shared" si="11"/>
        <v>1029.0566232605322</v>
      </c>
      <c r="H60" s="147">
        <f t="shared" si="12"/>
        <v>1029.0566232605322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4"/>
        <v/>
      </c>
      <c r="C61" s="157">
        <f>IF(D11="","-",+C60+1)</f>
        <v>2051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4"/>
        <v/>
      </c>
      <c r="C62" s="157">
        <f>IF(D11="","-",+C61+1)</f>
        <v>2052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4"/>
        <v/>
      </c>
      <c r="C63" s="157">
        <f>IF(D11="","-",+C62+1)</f>
        <v>2053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4"/>
        <v/>
      </c>
      <c r="C64" s="157">
        <f>IF(D11="","-",+C63+1)</f>
        <v>2054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4"/>
        <v/>
      </c>
      <c r="C65" s="157">
        <f>IF(D11="","-",+C64+1)</f>
        <v>2055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4"/>
        <v/>
      </c>
      <c r="C66" s="157">
        <f>IF(D11="","-",+C65+1)</f>
        <v>2056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4"/>
        <v/>
      </c>
      <c r="C67" s="157">
        <f>IF(D11="","-",+C66+1)</f>
        <v>2057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4"/>
        <v/>
      </c>
      <c r="C68" s="157">
        <f>IF(D11="","-",+C67+1)</f>
        <v>2058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4"/>
        <v/>
      </c>
      <c r="C69" s="157">
        <f>IF(D11="","-",+C68+1)</f>
        <v>2059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4"/>
        <v/>
      </c>
      <c r="C70" s="157">
        <f>IF(D11="","-",+C69+1)</f>
        <v>2060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4"/>
        <v/>
      </c>
      <c r="C71" s="157">
        <f>IF(D11="","-",+C70+1)</f>
        <v>2061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2062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84424</v>
      </c>
      <c r="F73" s="115"/>
      <c r="G73" s="115">
        <f>SUM(G17:G72)</f>
        <v>292916.72488049424</v>
      </c>
      <c r="H73" s="115">
        <f>SUM(H17:H72)</f>
        <v>292916.72488049424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7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10525.630109322938</v>
      </c>
      <c r="N87" s="202">
        <f>IF(J92&lt;D11,0,VLOOKUP(J92,C17:O72,11))</f>
        <v>10525.630109322938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10561.882642914878</v>
      </c>
      <c r="N88" s="204">
        <f>IF(J92&lt;D11,0,VLOOKUP(J92,C99:P154,7))</f>
        <v>10561.882642914878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Elk City - Elk City 69 kV line (CT Upgrades)*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36.252533591939937</v>
      </c>
      <c r="N89" s="207">
        <f>+N88-N87</f>
        <v>36.252533591939937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TP2007015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84424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1835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2007</v>
      </c>
      <c r="D99" s="366">
        <v>0</v>
      </c>
      <c r="E99" s="368">
        <v>0</v>
      </c>
      <c r="F99" s="371">
        <v>84424</v>
      </c>
      <c r="G99" s="373">
        <v>42212</v>
      </c>
      <c r="H99" s="374">
        <v>0</v>
      </c>
      <c r="I99" s="375">
        <v>0</v>
      </c>
      <c r="J99" s="162">
        <f t="shared" ref="J99:J130" si="18">+I99-H99</f>
        <v>0</v>
      </c>
      <c r="K99" s="162"/>
      <c r="L99" s="337">
        <v>0</v>
      </c>
      <c r="M99" s="161">
        <f t="shared" ref="M99:M130" si="19">IF(L99&lt;&gt;0,+H99-L99,0)</f>
        <v>0</v>
      </c>
      <c r="N99" s="337">
        <v>0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/>
      </c>
      <c r="C100" s="157">
        <f>IF(D93="","-",+C99+1)</f>
        <v>2008</v>
      </c>
      <c r="D100" s="366">
        <v>84424</v>
      </c>
      <c r="E100" s="368">
        <v>1593</v>
      </c>
      <c r="F100" s="371">
        <v>82831</v>
      </c>
      <c r="G100" s="371">
        <v>83628</v>
      </c>
      <c r="H100" s="368">
        <v>14877</v>
      </c>
      <c r="I100" s="370">
        <v>14877</v>
      </c>
      <c r="J100" s="162">
        <f t="shared" si="18"/>
        <v>0</v>
      </c>
      <c r="K100" s="162"/>
      <c r="L100" s="338">
        <v>14877</v>
      </c>
      <c r="M100" s="162">
        <f t="shared" si="19"/>
        <v>0</v>
      </c>
      <c r="N100" s="338">
        <v>14877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2">IF(D101=F100,"","IU")</f>
        <v/>
      </c>
      <c r="C101" s="157">
        <f>IF(D93="","-",+C100+1)</f>
        <v>2009</v>
      </c>
      <c r="D101" s="366">
        <v>82831</v>
      </c>
      <c r="E101" s="368">
        <v>1508</v>
      </c>
      <c r="F101" s="371">
        <v>81323</v>
      </c>
      <c r="G101" s="371">
        <v>82077</v>
      </c>
      <c r="H101" s="368">
        <v>13508.337143636172</v>
      </c>
      <c r="I101" s="370">
        <v>13508.337143636172</v>
      </c>
      <c r="J101" s="162">
        <f t="shared" si="18"/>
        <v>0</v>
      </c>
      <c r="K101" s="162"/>
      <c r="L101" s="380">
        <f t="shared" ref="L101:L106" si="23">H101</f>
        <v>13508.337143636172</v>
      </c>
      <c r="M101" s="381">
        <f t="shared" si="19"/>
        <v>0</v>
      </c>
      <c r="N101" s="380">
        <f t="shared" ref="N101:N106" si="24">I101</f>
        <v>13508.337143636172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2"/>
        <v/>
      </c>
      <c r="C102" s="157">
        <f>IF(D93="","-",+C101+1)</f>
        <v>2010</v>
      </c>
      <c r="D102" s="366">
        <v>81323</v>
      </c>
      <c r="E102" s="368">
        <v>1655</v>
      </c>
      <c r="F102" s="371">
        <v>79668</v>
      </c>
      <c r="G102" s="371">
        <v>80495.5</v>
      </c>
      <c r="H102" s="368">
        <v>14599.901682354179</v>
      </c>
      <c r="I102" s="370">
        <v>14599.901682354179</v>
      </c>
      <c r="J102" s="162">
        <f t="shared" si="18"/>
        <v>0</v>
      </c>
      <c r="K102" s="162"/>
      <c r="L102" s="380">
        <f t="shared" si="23"/>
        <v>14599.901682354179</v>
      </c>
      <c r="M102" s="381">
        <f t="shared" si="19"/>
        <v>0</v>
      </c>
      <c r="N102" s="380">
        <f t="shared" si="24"/>
        <v>14599.901682354179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2"/>
        <v/>
      </c>
      <c r="C103" s="157">
        <f>IF(D93="","-",+C102+1)</f>
        <v>2011</v>
      </c>
      <c r="D103" s="366">
        <v>79668</v>
      </c>
      <c r="E103" s="368">
        <v>1624</v>
      </c>
      <c r="F103" s="371">
        <v>78044</v>
      </c>
      <c r="G103" s="371">
        <v>78856</v>
      </c>
      <c r="H103" s="368">
        <v>12649.128461660426</v>
      </c>
      <c r="I103" s="370">
        <v>12649.128461660426</v>
      </c>
      <c r="J103" s="162">
        <f t="shared" si="18"/>
        <v>0</v>
      </c>
      <c r="K103" s="162"/>
      <c r="L103" s="380">
        <f t="shared" si="23"/>
        <v>12649.128461660426</v>
      </c>
      <c r="M103" s="381">
        <f t="shared" si="19"/>
        <v>0</v>
      </c>
      <c r="N103" s="380">
        <f t="shared" si="24"/>
        <v>12649.128461660426</v>
      </c>
      <c r="O103" s="162">
        <f t="shared" si="20"/>
        <v>0</v>
      </c>
      <c r="P103" s="162">
        <f t="shared" si="21"/>
        <v>0</v>
      </c>
    </row>
    <row r="104" spans="1:16">
      <c r="B104" s="9" t="str">
        <f t="shared" si="22"/>
        <v/>
      </c>
      <c r="C104" s="157">
        <f>IF(D93="","-",+C103+1)</f>
        <v>2012</v>
      </c>
      <c r="D104" s="366">
        <v>78044</v>
      </c>
      <c r="E104" s="368">
        <v>1624</v>
      </c>
      <c r="F104" s="371">
        <v>76420</v>
      </c>
      <c r="G104" s="371">
        <v>77232</v>
      </c>
      <c r="H104" s="368">
        <v>12734.246570183563</v>
      </c>
      <c r="I104" s="370">
        <v>12734.246570183563</v>
      </c>
      <c r="J104" s="162">
        <v>0</v>
      </c>
      <c r="K104" s="162"/>
      <c r="L104" s="380">
        <f t="shared" si="23"/>
        <v>12734.246570183563</v>
      </c>
      <c r="M104" s="381">
        <f>IF(L104&lt;&gt;0,+H104-L104,0)</f>
        <v>0</v>
      </c>
      <c r="N104" s="380">
        <f t="shared" si="24"/>
        <v>12734.246570183563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2"/>
        <v/>
      </c>
      <c r="C105" s="157">
        <f>IF(D93="","-",+C104+1)</f>
        <v>2013</v>
      </c>
      <c r="D105" s="366">
        <v>76420</v>
      </c>
      <c r="E105" s="368">
        <v>1624</v>
      </c>
      <c r="F105" s="371">
        <v>74796</v>
      </c>
      <c r="G105" s="371">
        <v>75608</v>
      </c>
      <c r="H105" s="368">
        <v>12506.984818583547</v>
      </c>
      <c r="I105" s="370">
        <v>12506.984818583547</v>
      </c>
      <c r="J105" s="162">
        <v>0</v>
      </c>
      <c r="K105" s="162"/>
      <c r="L105" s="380">
        <f t="shared" si="23"/>
        <v>12506.984818583547</v>
      </c>
      <c r="M105" s="381">
        <f>IF(L105&lt;&gt;0,+H105-L105,0)</f>
        <v>0</v>
      </c>
      <c r="N105" s="380">
        <f t="shared" si="24"/>
        <v>12506.984818583547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2"/>
        <v/>
      </c>
      <c r="C106" s="157">
        <f>IF(D93="","-",+C105+1)</f>
        <v>2014</v>
      </c>
      <c r="D106" s="366">
        <v>74796</v>
      </c>
      <c r="E106" s="368">
        <v>1624</v>
      </c>
      <c r="F106" s="371">
        <v>73172</v>
      </c>
      <c r="G106" s="371">
        <v>73984</v>
      </c>
      <c r="H106" s="368">
        <v>12025.847971361507</v>
      </c>
      <c r="I106" s="370">
        <v>12025.847971361507</v>
      </c>
      <c r="J106" s="162">
        <v>0</v>
      </c>
      <c r="K106" s="162"/>
      <c r="L106" s="380">
        <f t="shared" si="23"/>
        <v>12025.847971361507</v>
      </c>
      <c r="M106" s="381">
        <f>IF(L106&lt;&gt;0,+H106-L106,0)</f>
        <v>0</v>
      </c>
      <c r="N106" s="380">
        <f t="shared" si="24"/>
        <v>12025.847971361507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2"/>
        <v/>
      </c>
      <c r="C107" s="157">
        <f>IF(D93="","-",+C106+1)</f>
        <v>2015</v>
      </c>
      <c r="D107" s="366">
        <v>73172</v>
      </c>
      <c r="E107" s="368">
        <v>1624</v>
      </c>
      <c r="F107" s="371">
        <v>71548</v>
      </c>
      <c r="G107" s="371">
        <v>72360</v>
      </c>
      <c r="H107" s="368">
        <v>11496.940196929139</v>
      </c>
      <c r="I107" s="370">
        <v>11496.940196929139</v>
      </c>
      <c r="J107" s="162">
        <f t="shared" si="18"/>
        <v>0</v>
      </c>
      <c r="K107" s="162"/>
      <c r="L107" s="380">
        <f>H107</f>
        <v>11496.940196929139</v>
      </c>
      <c r="M107" s="381">
        <f>IF(L107&lt;&gt;0,+H107-L107,0)</f>
        <v>0</v>
      </c>
      <c r="N107" s="380">
        <f>I107</f>
        <v>11496.940196929139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22"/>
        <v/>
      </c>
      <c r="C108" s="157">
        <f>IF(D93="","-",+C107+1)</f>
        <v>2016</v>
      </c>
      <c r="D108" s="366">
        <v>71548</v>
      </c>
      <c r="E108" s="368">
        <v>1835</v>
      </c>
      <c r="F108" s="371">
        <v>69713</v>
      </c>
      <c r="G108" s="371">
        <v>70630.5</v>
      </c>
      <c r="H108" s="368">
        <v>10940.383800869789</v>
      </c>
      <c r="I108" s="370">
        <v>10940.383800869789</v>
      </c>
      <c r="J108" s="162">
        <v>0</v>
      </c>
      <c r="K108" s="162"/>
      <c r="L108" s="380">
        <f>H108</f>
        <v>10940.383800869789</v>
      </c>
      <c r="M108" s="381">
        <f>IF(L108&lt;&gt;0,+H108-L108,0)</f>
        <v>0</v>
      </c>
      <c r="N108" s="380">
        <f>I108</f>
        <v>10940.383800869789</v>
      </c>
      <c r="O108" s="162">
        <f>IF(N108&lt;&gt;0,+I108-N108,0)</f>
        <v>0</v>
      </c>
      <c r="P108" s="162">
        <f>+O108-M108</f>
        <v>0</v>
      </c>
    </row>
    <row r="109" spans="1:16">
      <c r="B109" s="9" t="str">
        <f t="shared" si="22"/>
        <v/>
      </c>
      <c r="C109" s="157">
        <f>IF(D93="","-",+C108+1)</f>
        <v>2017</v>
      </c>
      <c r="D109" s="158">
        <f>IF(F108+SUM(E$99:E108)=D$92,F108,D$92-SUM(E$99:E108))</f>
        <v>69713</v>
      </c>
      <c r="E109" s="165">
        <f>IF(+J96&lt;F108,J96,D109)</f>
        <v>1835</v>
      </c>
      <c r="F109" s="163">
        <f t="shared" ref="F109:F129" si="25">+D109-E109</f>
        <v>67878</v>
      </c>
      <c r="G109" s="163">
        <f t="shared" ref="G109:G129" si="26">+(F109+D109)/2</f>
        <v>68795.5</v>
      </c>
      <c r="H109" s="167">
        <f t="shared" ref="H109:H154" si="27">+J$94*G109+E109</f>
        <v>10561.882642914878</v>
      </c>
      <c r="I109" s="317">
        <f t="shared" ref="I109:I154" si="28">+J$95*G109+E109</f>
        <v>10561.882642914878</v>
      </c>
      <c r="J109" s="162">
        <f t="shared" si="18"/>
        <v>0</v>
      </c>
      <c r="K109" s="162"/>
      <c r="L109" s="335"/>
      <c r="M109" s="162">
        <f t="shared" si="19"/>
        <v>0</v>
      </c>
      <c r="N109" s="335"/>
      <c r="O109" s="162">
        <f t="shared" si="20"/>
        <v>0</v>
      </c>
      <c r="P109" s="162">
        <f t="shared" si="21"/>
        <v>0</v>
      </c>
    </row>
    <row r="110" spans="1:16">
      <c r="B110" s="9" t="str">
        <f t="shared" si="22"/>
        <v/>
      </c>
      <c r="C110" s="157">
        <f>IF(D93="","-",+C109+1)</f>
        <v>2018</v>
      </c>
      <c r="D110" s="158">
        <f>IF(F109+SUM(E$99:E109)=D$92,F109,D$92-SUM(E$99:E109))</f>
        <v>67878</v>
      </c>
      <c r="E110" s="165">
        <f>IF(+J96&lt;F109,J96,D110)</f>
        <v>1835</v>
      </c>
      <c r="F110" s="163">
        <f t="shared" si="25"/>
        <v>66043</v>
      </c>
      <c r="G110" s="163">
        <f t="shared" si="26"/>
        <v>66960.5</v>
      </c>
      <c r="H110" s="167">
        <f t="shared" si="27"/>
        <v>10329.108265960735</v>
      </c>
      <c r="I110" s="317">
        <f t="shared" si="28"/>
        <v>10329.108265960735</v>
      </c>
      <c r="J110" s="162">
        <f t="shared" si="18"/>
        <v>0</v>
      </c>
      <c r="K110" s="162"/>
      <c r="L110" s="335"/>
      <c r="M110" s="162">
        <f t="shared" si="19"/>
        <v>0</v>
      </c>
      <c r="N110" s="335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2"/>
        <v/>
      </c>
      <c r="C111" s="157">
        <f>IF(D93="","-",+C110+1)</f>
        <v>2019</v>
      </c>
      <c r="D111" s="158">
        <f>IF(F110+SUM(E$99:E110)=D$92,F110,D$92-SUM(E$99:E110))</f>
        <v>66043</v>
      </c>
      <c r="E111" s="165">
        <f>IF(+J96&lt;F110,J96,D111)</f>
        <v>1835</v>
      </c>
      <c r="F111" s="163">
        <f t="shared" si="25"/>
        <v>64208</v>
      </c>
      <c r="G111" s="163">
        <f t="shared" si="26"/>
        <v>65125.5</v>
      </c>
      <c r="H111" s="167">
        <f t="shared" si="27"/>
        <v>10096.333889006592</v>
      </c>
      <c r="I111" s="317">
        <f t="shared" si="28"/>
        <v>10096.333889006592</v>
      </c>
      <c r="J111" s="162">
        <f t="shared" si="18"/>
        <v>0</v>
      </c>
      <c r="K111" s="162"/>
      <c r="L111" s="335"/>
      <c r="M111" s="162">
        <f t="shared" si="19"/>
        <v>0</v>
      </c>
      <c r="N111" s="335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2"/>
        <v/>
      </c>
      <c r="C112" s="157">
        <f>IF(D93="","-",+C111+1)</f>
        <v>2020</v>
      </c>
      <c r="D112" s="158">
        <f>IF(F111+SUM(E$99:E111)=D$92,F111,D$92-SUM(E$99:E111))</f>
        <v>64208</v>
      </c>
      <c r="E112" s="165">
        <f>IF(+J96&lt;F111,J96,D112)</f>
        <v>1835</v>
      </c>
      <c r="F112" s="163">
        <f t="shared" si="25"/>
        <v>62373</v>
      </c>
      <c r="G112" s="163">
        <f t="shared" si="26"/>
        <v>63290.5</v>
      </c>
      <c r="H112" s="167">
        <f t="shared" si="27"/>
        <v>9863.5595120524467</v>
      </c>
      <c r="I112" s="317">
        <f t="shared" si="28"/>
        <v>9863.5595120524467</v>
      </c>
      <c r="J112" s="162">
        <f t="shared" si="18"/>
        <v>0</v>
      </c>
      <c r="K112" s="162"/>
      <c r="L112" s="335"/>
      <c r="M112" s="162">
        <f t="shared" si="19"/>
        <v>0</v>
      </c>
      <c r="N112" s="335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2"/>
        <v/>
      </c>
      <c r="C113" s="157">
        <f>IF(D93="","-",+C112+1)</f>
        <v>2021</v>
      </c>
      <c r="D113" s="158">
        <f>IF(F112+SUM(E$99:E112)=D$92,F112,D$92-SUM(E$99:E112))</f>
        <v>62373</v>
      </c>
      <c r="E113" s="165">
        <f>IF(+J96&lt;F112,J96,D113)</f>
        <v>1835</v>
      </c>
      <c r="F113" s="163">
        <f t="shared" si="25"/>
        <v>60538</v>
      </c>
      <c r="G113" s="163">
        <f t="shared" si="26"/>
        <v>61455.5</v>
      </c>
      <c r="H113" s="167">
        <f t="shared" si="27"/>
        <v>9630.7851350983037</v>
      </c>
      <c r="I113" s="317">
        <f t="shared" si="28"/>
        <v>9630.7851350983037</v>
      </c>
      <c r="J113" s="162">
        <f t="shared" si="18"/>
        <v>0</v>
      </c>
      <c r="K113" s="162"/>
      <c r="L113" s="335"/>
      <c r="M113" s="162">
        <f t="shared" si="19"/>
        <v>0</v>
      </c>
      <c r="N113" s="335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2"/>
        <v/>
      </c>
      <c r="C114" s="157">
        <f>IF(D93="","-",+C113+1)</f>
        <v>2022</v>
      </c>
      <c r="D114" s="158">
        <f>IF(F113+SUM(E$99:E113)=D$92,F113,D$92-SUM(E$99:E113))</f>
        <v>60538</v>
      </c>
      <c r="E114" s="165">
        <f>IF(+J96&lt;F113,J96,D114)</f>
        <v>1835</v>
      </c>
      <c r="F114" s="163">
        <f t="shared" si="25"/>
        <v>58703</v>
      </c>
      <c r="G114" s="163">
        <f t="shared" si="26"/>
        <v>59620.5</v>
      </c>
      <c r="H114" s="167">
        <f t="shared" si="27"/>
        <v>9398.0107581441589</v>
      </c>
      <c r="I114" s="317">
        <f t="shared" si="28"/>
        <v>9398.0107581441589</v>
      </c>
      <c r="J114" s="162">
        <f t="shared" si="18"/>
        <v>0</v>
      </c>
      <c r="K114" s="162"/>
      <c r="L114" s="335"/>
      <c r="M114" s="162">
        <f t="shared" si="19"/>
        <v>0</v>
      </c>
      <c r="N114" s="335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2"/>
        <v/>
      </c>
      <c r="C115" s="157">
        <f>IF(D93="","-",+C114+1)</f>
        <v>2023</v>
      </c>
      <c r="D115" s="158">
        <f>IF(F114+SUM(E$99:E114)=D$92,F114,D$92-SUM(E$99:E114))</f>
        <v>58703</v>
      </c>
      <c r="E115" s="165">
        <f>IF(+J96&lt;F114,J96,D115)</f>
        <v>1835</v>
      </c>
      <c r="F115" s="163">
        <f t="shared" si="25"/>
        <v>56868</v>
      </c>
      <c r="G115" s="163">
        <f t="shared" si="26"/>
        <v>57785.5</v>
      </c>
      <c r="H115" s="167">
        <f t="shared" si="27"/>
        <v>9165.2363811900159</v>
      </c>
      <c r="I115" s="317">
        <f t="shared" si="28"/>
        <v>9165.2363811900159</v>
      </c>
      <c r="J115" s="162">
        <f t="shared" si="18"/>
        <v>0</v>
      </c>
      <c r="K115" s="162"/>
      <c r="L115" s="335"/>
      <c r="M115" s="162">
        <f t="shared" si="19"/>
        <v>0</v>
      </c>
      <c r="N115" s="335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2"/>
        <v/>
      </c>
      <c r="C116" s="157">
        <f>IF(D93="","-",+C115+1)</f>
        <v>2024</v>
      </c>
      <c r="D116" s="158">
        <f>IF(F115+SUM(E$99:E115)=D$92,F115,D$92-SUM(E$99:E115))</f>
        <v>56868</v>
      </c>
      <c r="E116" s="165">
        <f>IF(+J96&lt;F115,J96,D116)</f>
        <v>1835</v>
      </c>
      <c r="F116" s="163">
        <f t="shared" si="25"/>
        <v>55033</v>
      </c>
      <c r="G116" s="163">
        <f t="shared" si="26"/>
        <v>55950.5</v>
      </c>
      <c r="H116" s="167">
        <f t="shared" si="27"/>
        <v>8932.4620042358729</v>
      </c>
      <c r="I116" s="317">
        <f t="shared" si="28"/>
        <v>8932.4620042358729</v>
      </c>
      <c r="J116" s="162">
        <f t="shared" si="18"/>
        <v>0</v>
      </c>
      <c r="K116" s="162"/>
      <c r="L116" s="335"/>
      <c r="M116" s="162">
        <f t="shared" si="19"/>
        <v>0</v>
      </c>
      <c r="N116" s="335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2"/>
        <v/>
      </c>
      <c r="C117" s="157">
        <f>IF(D93="","-",+C116+1)</f>
        <v>2025</v>
      </c>
      <c r="D117" s="158">
        <f>IF(F116+SUM(E$99:E116)=D$92,F116,D$92-SUM(E$99:E116))</f>
        <v>55033</v>
      </c>
      <c r="E117" s="165">
        <f>IF(+J96&lt;F116,J96,D117)</f>
        <v>1835</v>
      </c>
      <c r="F117" s="163">
        <f t="shared" si="25"/>
        <v>53198</v>
      </c>
      <c r="G117" s="163">
        <f t="shared" si="26"/>
        <v>54115.5</v>
      </c>
      <c r="H117" s="167">
        <f t="shared" si="27"/>
        <v>8699.6876272817281</v>
      </c>
      <c r="I117" s="317">
        <f t="shared" si="28"/>
        <v>8699.6876272817281</v>
      </c>
      <c r="J117" s="162">
        <f t="shared" si="18"/>
        <v>0</v>
      </c>
      <c r="K117" s="162"/>
      <c r="L117" s="335"/>
      <c r="M117" s="162">
        <f t="shared" si="19"/>
        <v>0</v>
      </c>
      <c r="N117" s="335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2"/>
        <v/>
      </c>
      <c r="C118" s="157">
        <f>IF(D93="","-",+C117+1)</f>
        <v>2026</v>
      </c>
      <c r="D118" s="158">
        <f>IF(F117+SUM(E$99:E117)=D$92,F117,D$92-SUM(E$99:E117))</f>
        <v>53198</v>
      </c>
      <c r="E118" s="165">
        <f>IF(+J96&lt;F117,J96,D118)</f>
        <v>1835</v>
      </c>
      <c r="F118" s="163">
        <f t="shared" si="25"/>
        <v>51363</v>
      </c>
      <c r="G118" s="163">
        <f t="shared" si="26"/>
        <v>52280.5</v>
      </c>
      <c r="H118" s="167">
        <f t="shared" si="27"/>
        <v>8466.9132503275832</v>
      </c>
      <c r="I118" s="317">
        <f t="shared" si="28"/>
        <v>8466.9132503275832</v>
      </c>
      <c r="J118" s="162">
        <f t="shared" si="18"/>
        <v>0</v>
      </c>
      <c r="K118" s="162"/>
      <c r="L118" s="335"/>
      <c r="M118" s="162">
        <f t="shared" si="19"/>
        <v>0</v>
      </c>
      <c r="N118" s="335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2"/>
        <v/>
      </c>
      <c r="C119" s="157">
        <f>IF(D93="","-",+C118+1)</f>
        <v>2027</v>
      </c>
      <c r="D119" s="158">
        <f>IF(F118+SUM(E$99:E118)=D$92,F118,D$92-SUM(E$99:E118))</f>
        <v>51363</v>
      </c>
      <c r="E119" s="165">
        <f>IF(+J96&lt;F118,J96,D119)</f>
        <v>1835</v>
      </c>
      <c r="F119" s="163">
        <f t="shared" si="25"/>
        <v>49528</v>
      </c>
      <c r="G119" s="163">
        <f t="shared" si="26"/>
        <v>50445.5</v>
      </c>
      <c r="H119" s="167">
        <f t="shared" si="27"/>
        <v>8234.1388733734402</v>
      </c>
      <c r="I119" s="317">
        <f t="shared" si="28"/>
        <v>8234.1388733734402</v>
      </c>
      <c r="J119" s="162">
        <f t="shared" si="18"/>
        <v>0</v>
      </c>
      <c r="K119" s="162"/>
      <c r="L119" s="335"/>
      <c r="M119" s="162">
        <f t="shared" si="19"/>
        <v>0</v>
      </c>
      <c r="N119" s="335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2"/>
        <v/>
      </c>
      <c r="C120" s="157">
        <f>IF(D93="","-",+C119+1)</f>
        <v>2028</v>
      </c>
      <c r="D120" s="158">
        <f>IF(F119+SUM(E$99:E119)=D$92,F119,D$92-SUM(E$99:E119))</f>
        <v>49528</v>
      </c>
      <c r="E120" s="165">
        <f>IF(+J96&lt;F119,J96,D120)</f>
        <v>1835</v>
      </c>
      <c r="F120" s="163">
        <f t="shared" si="25"/>
        <v>47693</v>
      </c>
      <c r="G120" s="163">
        <f t="shared" si="26"/>
        <v>48610.5</v>
      </c>
      <c r="H120" s="167">
        <f t="shared" si="27"/>
        <v>8001.3644964192963</v>
      </c>
      <c r="I120" s="317">
        <f t="shared" si="28"/>
        <v>8001.3644964192963</v>
      </c>
      <c r="J120" s="162">
        <f t="shared" si="18"/>
        <v>0</v>
      </c>
      <c r="K120" s="162"/>
      <c r="L120" s="335"/>
      <c r="M120" s="162">
        <f t="shared" si="19"/>
        <v>0</v>
      </c>
      <c r="N120" s="335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2"/>
        <v/>
      </c>
      <c r="C121" s="157">
        <f>IF(D93="","-",+C120+1)</f>
        <v>2029</v>
      </c>
      <c r="D121" s="158">
        <f>IF(F120+SUM(E$99:E120)=D$92,F120,D$92-SUM(E$99:E120))</f>
        <v>47693</v>
      </c>
      <c r="E121" s="165">
        <f>IF(+J96&lt;F120,J96,D121)</f>
        <v>1835</v>
      </c>
      <c r="F121" s="163">
        <f t="shared" si="25"/>
        <v>45858</v>
      </c>
      <c r="G121" s="163">
        <f t="shared" si="26"/>
        <v>46775.5</v>
      </c>
      <c r="H121" s="167">
        <f t="shared" si="27"/>
        <v>7768.5901194651524</v>
      </c>
      <c r="I121" s="317">
        <f t="shared" si="28"/>
        <v>7768.5901194651524</v>
      </c>
      <c r="J121" s="162">
        <f t="shared" si="18"/>
        <v>0</v>
      </c>
      <c r="K121" s="162"/>
      <c r="L121" s="335"/>
      <c r="M121" s="162">
        <f t="shared" si="19"/>
        <v>0</v>
      </c>
      <c r="N121" s="335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2"/>
        <v/>
      </c>
      <c r="C122" s="157">
        <f>IF(D93="","-",+C121+1)</f>
        <v>2030</v>
      </c>
      <c r="D122" s="158">
        <f>IF(F121+SUM(E$99:E121)=D$92,F121,D$92-SUM(E$99:E121))</f>
        <v>45858</v>
      </c>
      <c r="E122" s="165">
        <f>IF(+J96&lt;F121,J96,D122)</f>
        <v>1835</v>
      </c>
      <c r="F122" s="163">
        <f t="shared" si="25"/>
        <v>44023</v>
      </c>
      <c r="G122" s="163">
        <f t="shared" si="26"/>
        <v>44940.5</v>
      </c>
      <c r="H122" s="167">
        <f t="shared" si="27"/>
        <v>7535.8157425110085</v>
      </c>
      <c r="I122" s="317">
        <f t="shared" si="28"/>
        <v>7535.8157425110085</v>
      </c>
      <c r="J122" s="162">
        <f t="shared" si="18"/>
        <v>0</v>
      </c>
      <c r="K122" s="162"/>
      <c r="L122" s="335"/>
      <c r="M122" s="162">
        <f t="shared" si="19"/>
        <v>0</v>
      </c>
      <c r="N122" s="335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2"/>
        <v/>
      </c>
      <c r="C123" s="157">
        <f>IF(D93="","-",+C122+1)</f>
        <v>2031</v>
      </c>
      <c r="D123" s="158">
        <f>IF(F122+SUM(E$99:E122)=D$92,F122,D$92-SUM(E$99:E122))</f>
        <v>44023</v>
      </c>
      <c r="E123" s="165">
        <f>IF(+J96&lt;F122,J96,D123)</f>
        <v>1835</v>
      </c>
      <c r="F123" s="163">
        <f t="shared" si="25"/>
        <v>42188</v>
      </c>
      <c r="G123" s="163">
        <f t="shared" si="26"/>
        <v>43105.5</v>
      </c>
      <c r="H123" s="167">
        <f t="shared" si="27"/>
        <v>7303.0413655568645</v>
      </c>
      <c r="I123" s="317">
        <f t="shared" si="28"/>
        <v>7303.0413655568645</v>
      </c>
      <c r="J123" s="162">
        <f t="shared" si="18"/>
        <v>0</v>
      </c>
      <c r="K123" s="162"/>
      <c r="L123" s="335"/>
      <c r="M123" s="162">
        <f t="shared" si="19"/>
        <v>0</v>
      </c>
      <c r="N123" s="335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2"/>
        <v/>
      </c>
      <c r="C124" s="157">
        <f>IF(D93="","-",+C123+1)</f>
        <v>2032</v>
      </c>
      <c r="D124" s="158">
        <f>IF(F123+SUM(E$99:E123)=D$92,F123,D$92-SUM(E$99:E123))</f>
        <v>42188</v>
      </c>
      <c r="E124" s="165">
        <f>IF(+J96&lt;F123,J96,D124)</f>
        <v>1835</v>
      </c>
      <c r="F124" s="163">
        <f t="shared" si="25"/>
        <v>40353</v>
      </c>
      <c r="G124" s="163">
        <f t="shared" si="26"/>
        <v>41270.5</v>
      </c>
      <c r="H124" s="167">
        <f t="shared" si="27"/>
        <v>7070.2669886027206</v>
      </c>
      <c r="I124" s="317">
        <f t="shared" si="28"/>
        <v>7070.2669886027206</v>
      </c>
      <c r="J124" s="162">
        <f t="shared" si="18"/>
        <v>0</v>
      </c>
      <c r="K124" s="162"/>
      <c r="L124" s="335"/>
      <c r="M124" s="162">
        <f t="shared" si="19"/>
        <v>0</v>
      </c>
      <c r="N124" s="335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2"/>
        <v/>
      </c>
      <c r="C125" s="157">
        <f>IF(D93="","-",+C124+1)</f>
        <v>2033</v>
      </c>
      <c r="D125" s="158">
        <f>IF(F124+SUM(E$99:E124)=D$92,F124,D$92-SUM(E$99:E124))</f>
        <v>40353</v>
      </c>
      <c r="E125" s="165">
        <f>IF(+J96&lt;F124,J96,D125)</f>
        <v>1835</v>
      </c>
      <c r="F125" s="163">
        <f t="shared" si="25"/>
        <v>38518</v>
      </c>
      <c r="G125" s="163">
        <f t="shared" si="26"/>
        <v>39435.5</v>
      </c>
      <c r="H125" s="167">
        <f t="shared" si="27"/>
        <v>6837.4926116485767</v>
      </c>
      <c r="I125" s="317">
        <f t="shared" si="28"/>
        <v>6837.4926116485767</v>
      </c>
      <c r="J125" s="162">
        <f t="shared" si="18"/>
        <v>0</v>
      </c>
      <c r="K125" s="162"/>
      <c r="L125" s="335"/>
      <c r="M125" s="162">
        <f t="shared" si="19"/>
        <v>0</v>
      </c>
      <c r="N125" s="335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2"/>
        <v/>
      </c>
      <c r="C126" s="157">
        <f>IF(D93="","-",+C125+1)</f>
        <v>2034</v>
      </c>
      <c r="D126" s="158">
        <f>IF(F125+SUM(E$99:E125)=D$92,F125,D$92-SUM(E$99:E125))</f>
        <v>38518</v>
      </c>
      <c r="E126" s="165">
        <f>IF(+J96&lt;F125,J96,D126)</f>
        <v>1835</v>
      </c>
      <c r="F126" s="163">
        <f t="shared" si="25"/>
        <v>36683</v>
      </c>
      <c r="G126" s="163">
        <f t="shared" si="26"/>
        <v>37600.5</v>
      </c>
      <c r="H126" s="167">
        <f t="shared" si="27"/>
        <v>6604.7182346944337</v>
      </c>
      <c r="I126" s="317">
        <f t="shared" si="28"/>
        <v>6604.7182346944337</v>
      </c>
      <c r="J126" s="162">
        <f t="shared" si="18"/>
        <v>0</v>
      </c>
      <c r="K126" s="162"/>
      <c r="L126" s="335"/>
      <c r="M126" s="162">
        <f t="shared" si="19"/>
        <v>0</v>
      </c>
      <c r="N126" s="335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2"/>
        <v/>
      </c>
      <c r="C127" s="157">
        <f>IF(D93="","-",+C126+1)</f>
        <v>2035</v>
      </c>
      <c r="D127" s="158">
        <f>IF(F126+SUM(E$99:E126)=D$92,F126,D$92-SUM(E$99:E126))</f>
        <v>36683</v>
      </c>
      <c r="E127" s="165">
        <f>IF(+J96&lt;F126,J96,D127)</f>
        <v>1835</v>
      </c>
      <c r="F127" s="163">
        <f t="shared" si="25"/>
        <v>34848</v>
      </c>
      <c r="G127" s="163">
        <f t="shared" si="26"/>
        <v>35765.5</v>
      </c>
      <c r="H127" s="167">
        <f t="shared" si="27"/>
        <v>6371.9438577402898</v>
      </c>
      <c r="I127" s="317">
        <f t="shared" si="28"/>
        <v>6371.9438577402898</v>
      </c>
      <c r="J127" s="162">
        <f t="shared" si="18"/>
        <v>0</v>
      </c>
      <c r="K127" s="162"/>
      <c r="L127" s="335"/>
      <c r="M127" s="162">
        <f t="shared" si="19"/>
        <v>0</v>
      </c>
      <c r="N127" s="335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2"/>
        <v/>
      </c>
      <c r="C128" s="157">
        <f>IF(D93="","-",+C127+1)</f>
        <v>2036</v>
      </c>
      <c r="D128" s="158">
        <f>IF(F127+SUM(E$99:E127)=D$92,F127,D$92-SUM(E$99:E127))</f>
        <v>34848</v>
      </c>
      <c r="E128" s="165">
        <f>IF(+J96&lt;F127,J96,D128)</f>
        <v>1835</v>
      </c>
      <c r="F128" s="163">
        <f t="shared" si="25"/>
        <v>33013</v>
      </c>
      <c r="G128" s="163">
        <f t="shared" si="26"/>
        <v>33930.5</v>
      </c>
      <c r="H128" s="167">
        <f t="shared" si="27"/>
        <v>6139.1694807861459</v>
      </c>
      <c r="I128" s="317">
        <f t="shared" si="28"/>
        <v>6139.1694807861459</v>
      </c>
      <c r="J128" s="162">
        <f t="shared" si="18"/>
        <v>0</v>
      </c>
      <c r="K128" s="162"/>
      <c r="L128" s="335"/>
      <c r="M128" s="162">
        <f t="shared" si="19"/>
        <v>0</v>
      </c>
      <c r="N128" s="335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2"/>
        <v/>
      </c>
      <c r="C129" s="157">
        <f>IF(D93="","-",+C128+1)</f>
        <v>2037</v>
      </c>
      <c r="D129" s="158">
        <f>IF(F128+SUM(E$99:E128)=D$92,F128,D$92-SUM(E$99:E128))</f>
        <v>33013</v>
      </c>
      <c r="E129" s="165">
        <f>IF(+J96&lt;F128,J96,D129)</f>
        <v>1835</v>
      </c>
      <c r="F129" s="163">
        <f t="shared" si="25"/>
        <v>31178</v>
      </c>
      <c r="G129" s="163">
        <f t="shared" si="26"/>
        <v>32095.5</v>
      </c>
      <c r="H129" s="167">
        <f t="shared" si="27"/>
        <v>5906.395103832002</v>
      </c>
      <c r="I129" s="317">
        <f t="shared" si="28"/>
        <v>5906.395103832002</v>
      </c>
      <c r="J129" s="162">
        <f t="shared" si="18"/>
        <v>0</v>
      </c>
      <c r="K129" s="162"/>
      <c r="L129" s="335"/>
      <c r="M129" s="162">
        <f t="shared" si="19"/>
        <v>0</v>
      </c>
      <c r="N129" s="335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2"/>
        <v/>
      </c>
      <c r="C130" s="157">
        <f>IF(D93="","-",+C129+1)</f>
        <v>2038</v>
      </c>
      <c r="D130" s="158">
        <f>IF(F129+SUM(E$99:E129)=D$92,F129,D$92-SUM(E$99:E129))</f>
        <v>31178</v>
      </c>
      <c r="E130" s="165">
        <f>IF(+J96&lt;F129,J96,D130)</f>
        <v>1835</v>
      </c>
      <c r="F130" s="163">
        <f t="shared" ref="F130:F153" si="29">+D130-E130</f>
        <v>29343</v>
      </c>
      <c r="G130" s="163">
        <f t="shared" ref="G130:G153" si="30">+(F130+D130)/2</f>
        <v>30260.5</v>
      </c>
      <c r="H130" s="167">
        <f t="shared" si="27"/>
        <v>5673.620726877858</v>
      </c>
      <c r="I130" s="317">
        <f t="shared" si="28"/>
        <v>5673.620726877858</v>
      </c>
      <c r="J130" s="162">
        <f t="shared" si="18"/>
        <v>0</v>
      </c>
      <c r="K130" s="162"/>
      <c r="L130" s="335"/>
      <c r="M130" s="162">
        <f t="shared" si="19"/>
        <v>0</v>
      </c>
      <c r="N130" s="335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2"/>
        <v/>
      </c>
      <c r="C131" s="157">
        <f>IF(D93="","-",+C130+1)</f>
        <v>2039</v>
      </c>
      <c r="D131" s="158">
        <f>IF(F130+SUM(E$99:E130)=D$92,F130,D$92-SUM(E$99:E130))</f>
        <v>29343</v>
      </c>
      <c r="E131" s="165">
        <f>IF(+J96&lt;F130,J96,D131)</f>
        <v>1835</v>
      </c>
      <c r="F131" s="163">
        <f t="shared" si="29"/>
        <v>27508</v>
      </c>
      <c r="G131" s="163">
        <f t="shared" si="30"/>
        <v>28425.5</v>
      </c>
      <c r="H131" s="167">
        <f t="shared" si="27"/>
        <v>5440.8463499237141</v>
      </c>
      <c r="I131" s="317">
        <f t="shared" si="28"/>
        <v>5440.8463499237141</v>
      </c>
      <c r="J131" s="162">
        <f t="shared" ref="J131:J154" si="31">+I382-H382</f>
        <v>0</v>
      </c>
      <c r="K131" s="162"/>
      <c r="L131" s="335"/>
      <c r="M131" s="162">
        <f t="shared" ref="M131:M154" si="32">IF(L382&lt;&gt;0,+H382-L382,0)</f>
        <v>0</v>
      </c>
      <c r="N131" s="335"/>
      <c r="O131" s="162">
        <f t="shared" ref="O131:O154" si="33">IF(N382&lt;&gt;0,+I382-N382,0)</f>
        <v>0</v>
      </c>
      <c r="P131" s="162">
        <f t="shared" ref="P131:P154" si="34">+O382-M382</f>
        <v>0</v>
      </c>
    </row>
    <row r="132" spans="2:16">
      <c r="B132" s="9" t="str">
        <f t="shared" si="22"/>
        <v/>
      </c>
      <c r="C132" s="157">
        <f>IF(D93="","-",+C131+1)</f>
        <v>2040</v>
      </c>
      <c r="D132" s="158">
        <f>IF(F131+SUM(E$99:E131)=D$92,F131,D$92-SUM(E$99:E131))</f>
        <v>27508</v>
      </c>
      <c r="E132" s="165">
        <f>IF(+J96&lt;F131,J96,D132)</f>
        <v>1835</v>
      </c>
      <c r="F132" s="163">
        <f t="shared" si="29"/>
        <v>25673</v>
      </c>
      <c r="G132" s="163">
        <f t="shared" si="30"/>
        <v>26590.5</v>
      </c>
      <c r="H132" s="167">
        <f t="shared" si="27"/>
        <v>5208.0719729695702</v>
      </c>
      <c r="I132" s="317">
        <f t="shared" si="28"/>
        <v>5208.0719729695702</v>
      </c>
      <c r="J132" s="162">
        <f t="shared" si="31"/>
        <v>0</v>
      </c>
      <c r="K132" s="162"/>
      <c r="L132" s="335"/>
      <c r="M132" s="162">
        <f t="shared" si="32"/>
        <v>0</v>
      </c>
      <c r="N132" s="335"/>
      <c r="O132" s="162">
        <f t="shared" si="33"/>
        <v>0</v>
      </c>
      <c r="P132" s="162">
        <f t="shared" si="34"/>
        <v>0</v>
      </c>
    </row>
    <row r="133" spans="2:16">
      <c r="B133" s="9" t="str">
        <f t="shared" si="22"/>
        <v/>
      </c>
      <c r="C133" s="157">
        <f>IF(D93="","-",+C132+1)</f>
        <v>2041</v>
      </c>
      <c r="D133" s="158">
        <f>IF(F132+SUM(E$99:E132)=D$92,F132,D$92-SUM(E$99:E132))</f>
        <v>25673</v>
      </c>
      <c r="E133" s="165">
        <f>IF(+J96&lt;F132,J96,D133)</f>
        <v>1835</v>
      </c>
      <c r="F133" s="163">
        <f t="shared" si="29"/>
        <v>23838</v>
      </c>
      <c r="G133" s="163">
        <f t="shared" si="30"/>
        <v>24755.5</v>
      </c>
      <c r="H133" s="167">
        <f t="shared" si="27"/>
        <v>4975.2975960154263</v>
      </c>
      <c r="I133" s="317">
        <f t="shared" si="28"/>
        <v>4975.2975960154263</v>
      </c>
      <c r="J133" s="162">
        <f t="shared" si="31"/>
        <v>0</v>
      </c>
      <c r="K133" s="162"/>
      <c r="L133" s="335"/>
      <c r="M133" s="162">
        <f t="shared" si="32"/>
        <v>0</v>
      </c>
      <c r="N133" s="335"/>
      <c r="O133" s="162">
        <f t="shared" si="33"/>
        <v>0</v>
      </c>
      <c r="P133" s="162">
        <f t="shared" si="34"/>
        <v>0</v>
      </c>
    </row>
    <row r="134" spans="2:16">
      <c r="B134" s="9" t="str">
        <f t="shared" si="22"/>
        <v/>
      </c>
      <c r="C134" s="157">
        <f>IF(D93="","-",+C133+1)</f>
        <v>2042</v>
      </c>
      <c r="D134" s="158">
        <f>IF(F133+SUM(E$99:E133)=D$92,F133,D$92-SUM(E$99:E133))</f>
        <v>23838</v>
      </c>
      <c r="E134" s="165">
        <f>IF(+J96&lt;F133,J96,D134)</f>
        <v>1835</v>
      </c>
      <c r="F134" s="163">
        <f t="shared" si="29"/>
        <v>22003</v>
      </c>
      <c r="G134" s="163">
        <f t="shared" si="30"/>
        <v>22920.5</v>
      </c>
      <c r="H134" s="167">
        <f t="shared" si="27"/>
        <v>4742.5232190612824</v>
      </c>
      <c r="I134" s="317">
        <f t="shared" si="28"/>
        <v>4742.5232190612824</v>
      </c>
      <c r="J134" s="162">
        <f t="shared" si="31"/>
        <v>0</v>
      </c>
      <c r="K134" s="162"/>
      <c r="L134" s="335"/>
      <c r="M134" s="162">
        <f t="shared" si="32"/>
        <v>0</v>
      </c>
      <c r="N134" s="335"/>
      <c r="O134" s="162">
        <f t="shared" si="33"/>
        <v>0</v>
      </c>
      <c r="P134" s="162">
        <f t="shared" si="34"/>
        <v>0</v>
      </c>
    </row>
    <row r="135" spans="2:16">
      <c r="B135" s="9" t="str">
        <f t="shared" si="22"/>
        <v/>
      </c>
      <c r="C135" s="157">
        <f>IF(D93="","-",+C134+1)</f>
        <v>2043</v>
      </c>
      <c r="D135" s="158">
        <f>IF(F134+SUM(E$99:E134)=D$92,F134,D$92-SUM(E$99:E134))</f>
        <v>22003</v>
      </c>
      <c r="E135" s="165">
        <f>IF(+J96&lt;F134,J96,D135)</f>
        <v>1835</v>
      </c>
      <c r="F135" s="163">
        <f t="shared" si="29"/>
        <v>20168</v>
      </c>
      <c r="G135" s="163">
        <f t="shared" si="30"/>
        <v>21085.5</v>
      </c>
      <c r="H135" s="167">
        <f t="shared" si="27"/>
        <v>4509.7488421071394</v>
      </c>
      <c r="I135" s="317">
        <f t="shared" si="28"/>
        <v>4509.7488421071394</v>
      </c>
      <c r="J135" s="162">
        <f t="shared" si="31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4"/>
        <v>0</v>
      </c>
    </row>
    <row r="136" spans="2:16">
      <c r="B136" s="9" t="str">
        <f t="shared" si="22"/>
        <v/>
      </c>
      <c r="C136" s="157">
        <f>IF(D93="","-",+C135+1)</f>
        <v>2044</v>
      </c>
      <c r="D136" s="158">
        <f>IF(F135+SUM(E$99:E135)=D$92,F135,D$92-SUM(E$99:E135))</f>
        <v>20168</v>
      </c>
      <c r="E136" s="165">
        <f>IF(+J96&lt;F135,J96,D136)</f>
        <v>1835</v>
      </c>
      <c r="F136" s="163">
        <f t="shared" si="29"/>
        <v>18333</v>
      </c>
      <c r="G136" s="163">
        <f t="shared" si="30"/>
        <v>19250.5</v>
      </c>
      <c r="H136" s="167">
        <f t="shared" si="27"/>
        <v>4276.9744651529945</v>
      </c>
      <c r="I136" s="317">
        <f t="shared" si="28"/>
        <v>4276.9744651529945</v>
      </c>
      <c r="J136" s="162">
        <f t="shared" si="31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4"/>
        <v>0</v>
      </c>
    </row>
    <row r="137" spans="2:16">
      <c r="B137" s="9" t="str">
        <f t="shared" si="22"/>
        <v/>
      </c>
      <c r="C137" s="157">
        <f>IF(D93="","-",+C136+1)</f>
        <v>2045</v>
      </c>
      <c r="D137" s="158">
        <f>IF(F136+SUM(E$99:E136)=D$92,F136,D$92-SUM(E$99:E136))</f>
        <v>18333</v>
      </c>
      <c r="E137" s="165">
        <f>IF(+J96&lt;F136,J96,D137)</f>
        <v>1835</v>
      </c>
      <c r="F137" s="163">
        <f t="shared" si="29"/>
        <v>16498</v>
      </c>
      <c r="G137" s="163">
        <f t="shared" si="30"/>
        <v>17415.5</v>
      </c>
      <c r="H137" s="167">
        <f t="shared" si="27"/>
        <v>4044.2000881988511</v>
      </c>
      <c r="I137" s="317">
        <f t="shared" si="28"/>
        <v>4044.2000881988511</v>
      </c>
      <c r="J137" s="162">
        <f t="shared" si="31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4"/>
        <v>0</v>
      </c>
    </row>
    <row r="138" spans="2:16">
      <c r="B138" s="9" t="str">
        <f t="shared" si="22"/>
        <v/>
      </c>
      <c r="C138" s="157">
        <f>IF(D93="","-",+C137+1)</f>
        <v>2046</v>
      </c>
      <c r="D138" s="158">
        <f>IF(F137+SUM(E$99:E137)=D$92,F137,D$92-SUM(E$99:E137))</f>
        <v>16498</v>
      </c>
      <c r="E138" s="165">
        <f>IF(+J96&lt;F137,J96,D138)</f>
        <v>1835</v>
      </c>
      <c r="F138" s="163">
        <f t="shared" si="29"/>
        <v>14663</v>
      </c>
      <c r="G138" s="163">
        <f t="shared" si="30"/>
        <v>15580.5</v>
      </c>
      <c r="H138" s="167">
        <f t="shared" si="27"/>
        <v>3811.4257112447076</v>
      </c>
      <c r="I138" s="317">
        <f t="shared" si="28"/>
        <v>3811.4257112447076</v>
      </c>
      <c r="J138" s="162">
        <f t="shared" si="31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4"/>
        <v>0</v>
      </c>
    </row>
    <row r="139" spans="2:16">
      <c r="B139" s="9" t="str">
        <f t="shared" si="22"/>
        <v/>
      </c>
      <c r="C139" s="157">
        <f>IF(D93="","-",+C138+1)</f>
        <v>2047</v>
      </c>
      <c r="D139" s="158">
        <f>IF(F138+SUM(E$99:E138)=D$92,F138,D$92-SUM(E$99:E138))</f>
        <v>14663</v>
      </c>
      <c r="E139" s="165">
        <f>IF(+J96&lt;F138,J96,D139)</f>
        <v>1835</v>
      </c>
      <c r="F139" s="163">
        <f t="shared" si="29"/>
        <v>12828</v>
      </c>
      <c r="G139" s="163">
        <f t="shared" si="30"/>
        <v>13745.5</v>
      </c>
      <c r="H139" s="167">
        <f t="shared" si="27"/>
        <v>3578.6513342905637</v>
      </c>
      <c r="I139" s="317">
        <f t="shared" si="28"/>
        <v>3578.6513342905637</v>
      </c>
      <c r="J139" s="162">
        <f t="shared" si="31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4"/>
        <v>0</v>
      </c>
    </row>
    <row r="140" spans="2:16">
      <c r="B140" s="9" t="str">
        <f t="shared" si="22"/>
        <v/>
      </c>
      <c r="C140" s="157">
        <f>IF(D93="","-",+C139+1)</f>
        <v>2048</v>
      </c>
      <c r="D140" s="158">
        <f>IF(F139+SUM(E$99:E139)=D$92,F139,D$92-SUM(E$99:E139))</f>
        <v>12828</v>
      </c>
      <c r="E140" s="165">
        <f>IF(+J96&lt;F139,J96,D140)</f>
        <v>1835</v>
      </c>
      <c r="F140" s="163">
        <f t="shared" si="29"/>
        <v>10993</v>
      </c>
      <c r="G140" s="163">
        <f t="shared" si="30"/>
        <v>11910.5</v>
      </c>
      <c r="H140" s="167">
        <f t="shared" si="27"/>
        <v>3345.8769573364198</v>
      </c>
      <c r="I140" s="317">
        <f t="shared" si="28"/>
        <v>3345.8769573364198</v>
      </c>
      <c r="J140" s="162">
        <f t="shared" si="31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4"/>
        <v>0</v>
      </c>
    </row>
    <row r="141" spans="2:16">
      <c r="B141" s="9" t="str">
        <f t="shared" si="22"/>
        <v/>
      </c>
      <c r="C141" s="157">
        <f>IF(D93="","-",+C140+1)</f>
        <v>2049</v>
      </c>
      <c r="D141" s="158">
        <f>IF(F140+SUM(E$99:E140)=D$92,F140,D$92-SUM(E$99:E140))</f>
        <v>10993</v>
      </c>
      <c r="E141" s="165">
        <f>IF(+J96&lt;F140,J96,D141)</f>
        <v>1835</v>
      </c>
      <c r="F141" s="163">
        <f t="shared" si="29"/>
        <v>9158</v>
      </c>
      <c r="G141" s="163">
        <f t="shared" si="30"/>
        <v>10075.5</v>
      </c>
      <c r="H141" s="167">
        <f t="shared" si="27"/>
        <v>3113.1025803822758</v>
      </c>
      <c r="I141" s="317">
        <f t="shared" si="28"/>
        <v>3113.1025803822758</v>
      </c>
      <c r="J141" s="162">
        <f t="shared" si="31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4"/>
        <v>0</v>
      </c>
    </row>
    <row r="142" spans="2:16">
      <c r="B142" s="9" t="str">
        <f t="shared" si="22"/>
        <v/>
      </c>
      <c r="C142" s="157">
        <f>IF(D93="","-",+C141+1)</f>
        <v>2050</v>
      </c>
      <c r="D142" s="158">
        <f>IF(F141+SUM(E$99:E141)=D$92,F141,D$92-SUM(E$99:E141))</f>
        <v>9158</v>
      </c>
      <c r="E142" s="165">
        <f>IF(+J96&lt;F141,J96,D142)</f>
        <v>1835</v>
      </c>
      <c r="F142" s="163">
        <f t="shared" si="29"/>
        <v>7323</v>
      </c>
      <c r="G142" s="163">
        <f t="shared" si="30"/>
        <v>8240.5</v>
      </c>
      <c r="H142" s="167">
        <f t="shared" si="27"/>
        <v>2880.3282034281319</v>
      </c>
      <c r="I142" s="317">
        <f t="shared" si="28"/>
        <v>2880.3282034281319</v>
      </c>
      <c r="J142" s="162">
        <f t="shared" si="31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4"/>
        <v>0</v>
      </c>
    </row>
    <row r="143" spans="2:16">
      <c r="B143" s="9" t="str">
        <f t="shared" si="22"/>
        <v/>
      </c>
      <c r="C143" s="157">
        <f>IF(D93="","-",+C142+1)</f>
        <v>2051</v>
      </c>
      <c r="D143" s="158">
        <f>IF(F142+SUM(E$99:E142)=D$92,F142,D$92-SUM(E$99:E142))</f>
        <v>7323</v>
      </c>
      <c r="E143" s="165">
        <f>IF(+J96&lt;F142,J96,D143)</f>
        <v>1835</v>
      </c>
      <c r="F143" s="163">
        <f t="shared" si="29"/>
        <v>5488</v>
      </c>
      <c r="G143" s="163">
        <f t="shared" si="30"/>
        <v>6405.5</v>
      </c>
      <c r="H143" s="167">
        <f t="shared" si="27"/>
        <v>2647.553826473988</v>
      </c>
      <c r="I143" s="317">
        <f t="shared" si="28"/>
        <v>2647.553826473988</v>
      </c>
      <c r="J143" s="162">
        <f t="shared" si="31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4"/>
        <v>0</v>
      </c>
    </row>
    <row r="144" spans="2:16">
      <c r="B144" s="9" t="str">
        <f t="shared" si="22"/>
        <v/>
      </c>
      <c r="C144" s="157">
        <f>IF(D93="","-",+C143+1)</f>
        <v>2052</v>
      </c>
      <c r="D144" s="158">
        <f>IF(F143+SUM(E$99:E143)=D$92,F143,D$92-SUM(E$99:E143))</f>
        <v>5488</v>
      </c>
      <c r="E144" s="165">
        <f>IF(+J96&lt;F143,J96,D144)</f>
        <v>1835</v>
      </c>
      <c r="F144" s="163">
        <f t="shared" si="29"/>
        <v>3653</v>
      </c>
      <c r="G144" s="163">
        <f t="shared" si="30"/>
        <v>4570.5</v>
      </c>
      <c r="H144" s="167">
        <f t="shared" si="27"/>
        <v>2414.7794495198441</v>
      </c>
      <c r="I144" s="317">
        <f t="shared" si="28"/>
        <v>2414.7794495198441</v>
      </c>
      <c r="J144" s="162">
        <f t="shared" si="31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4"/>
        <v>0</v>
      </c>
    </row>
    <row r="145" spans="2:16">
      <c r="B145" s="9" t="str">
        <f t="shared" si="22"/>
        <v/>
      </c>
      <c r="C145" s="157">
        <f>IF(D93="","-",+C144+1)</f>
        <v>2053</v>
      </c>
      <c r="D145" s="158">
        <f>IF(F144+SUM(E$99:E144)=D$92,F144,D$92-SUM(E$99:E144))</f>
        <v>3653</v>
      </c>
      <c r="E145" s="165">
        <f>IF(+J96&lt;F144,J96,D145)</f>
        <v>1835</v>
      </c>
      <c r="F145" s="163">
        <f t="shared" si="29"/>
        <v>1818</v>
      </c>
      <c r="G145" s="163">
        <f t="shared" si="30"/>
        <v>2735.5</v>
      </c>
      <c r="H145" s="167">
        <f t="shared" si="27"/>
        <v>2182.0050725657006</v>
      </c>
      <c r="I145" s="317">
        <f t="shared" si="28"/>
        <v>2182.0050725657006</v>
      </c>
      <c r="J145" s="162">
        <f t="shared" si="31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4"/>
        <v>0</v>
      </c>
    </row>
    <row r="146" spans="2:16">
      <c r="B146" s="9" t="str">
        <f t="shared" si="22"/>
        <v/>
      </c>
      <c r="C146" s="157">
        <f>IF(D93="","-",+C145+1)</f>
        <v>2054</v>
      </c>
      <c r="D146" s="158">
        <f>IF(F145+SUM(E$99:E145)=D$92,F145,D$92-SUM(E$99:E145))</f>
        <v>1818</v>
      </c>
      <c r="E146" s="165">
        <f>IF(+J96&lt;F145,J96,D146)</f>
        <v>1818</v>
      </c>
      <c r="F146" s="163">
        <f t="shared" si="29"/>
        <v>0</v>
      </c>
      <c r="G146" s="163">
        <f t="shared" si="30"/>
        <v>909</v>
      </c>
      <c r="H146" s="167">
        <f t="shared" si="27"/>
        <v>1933.3089420443143</v>
      </c>
      <c r="I146" s="317">
        <f t="shared" si="28"/>
        <v>1933.3089420443143</v>
      </c>
      <c r="J146" s="162">
        <f t="shared" si="31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4"/>
        <v>0</v>
      </c>
    </row>
    <row r="147" spans="2:16">
      <c r="B147" s="9" t="str">
        <f t="shared" si="22"/>
        <v/>
      </c>
      <c r="C147" s="157">
        <f>IF(D93="","-",+C146+1)</f>
        <v>2055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9"/>
        <v>0</v>
      </c>
      <c r="G147" s="163">
        <f t="shared" si="30"/>
        <v>0</v>
      </c>
      <c r="H147" s="167">
        <f t="shared" si="27"/>
        <v>0</v>
      </c>
      <c r="I147" s="317">
        <f t="shared" si="28"/>
        <v>0</v>
      </c>
      <c r="J147" s="162">
        <f t="shared" si="31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4"/>
        <v>0</v>
      </c>
    </row>
    <row r="148" spans="2:16">
      <c r="B148" s="9" t="str">
        <f t="shared" si="22"/>
        <v/>
      </c>
      <c r="C148" s="157">
        <f>IF(D93="","-",+C147+1)</f>
        <v>2056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9"/>
        <v>0</v>
      </c>
      <c r="G148" s="163">
        <f t="shared" si="30"/>
        <v>0</v>
      </c>
      <c r="H148" s="167">
        <f t="shared" si="27"/>
        <v>0</v>
      </c>
      <c r="I148" s="317">
        <f t="shared" si="28"/>
        <v>0</v>
      </c>
      <c r="J148" s="162">
        <f t="shared" si="31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4"/>
        <v>0</v>
      </c>
    </row>
    <row r="149" spans="2:16">
      <c r="B149" s="9" t="str">
        <f t="shared" si="22"/>
        <v/>
      </c>
      <c r="C149" s="157">
        <f>IF(D93="","-",+C148+1)</f>
        <v>2057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9"/>
        <v>0</v>
      </c>
      <c r="G149" s="163">
        <f t="shared" si="30"/>
        <v>0</v>
      </c>
      <c r="H149" s="167">
        <f t="shared" si="27"/>
        <v>0</v>
      </c>
      <c r="I149" s="317">
        <f t="shared" si="28"/>
        <v>0</v>
      </c>
      <c r="J149" s="162">
        <f t="shared" si="31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4"/>
        <v>0</v>
      </c>
    </row>
    <row r="150" spans="2:16">
      <c r="B150" s="9" t="str">
        <f t="shared" si="22"/>
        <v/>
      </c>
      <c r="C150" s="157">
        <f>IF(D93="","-",+C149+1)</f>
        <v>2058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9"/>
        <v>0</v>
      </c>
      <c r="G150" s="163">
        <f t="shared" si="30"/>
        <v>0</v>
      </c>
      <c r="H150" s="167">
        <f t="shared" si="27"/>
        <v>0</v>
      </c>
      <c r="I150" s="317">
        <f t="shared" si="28"/>
        <v>0</v>
      </c>
      <c r="J150" s="162">
        <f t="shared" si="31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4"/>
        <v>0</v>
      </c>
    </row>
    <row r="151" spans="2:16">
      <c r="B151" s="9" t="str">
        <f t="shared" si="22"/>
        <v/>
      </c>
      <c r="C151" s="157">
        <f>IF(D93="","-",+C150+1)</f>
        <v>2059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9"/>
        <v>0</v>
      </c>
      <c r="G151" s="163">
        <f t="shared" si="30"/>
        <v>0</v>
      </c>
      <c r="H151" s="167">
        <f t="shared" si="27"/>
        <v>0</v>
      </c>
      <c r="I151" s="317">
        <f t="shared" si="28"/>
        <v>0</v>
      </c>
      <c r="J151" s="162">
        <f t="shared" si="31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4"/>
        <v>0</v>
      </c>
    </row>
    <row r="152" spans="2:16">
      <c r="B152" s="9" t="str">
        <f t="shared" si="22"/>
        <v/>
      </c>
      <c r="C152" s="157">
        <f>IF(D93="","-",+C151+1)</f>
        <v>2060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9"/>
        <v>0</v>
      </c>
      <c r="G152" s="163">
        <f t="shared" si="30"/>
        <v>0</v>
      </c>
      <c r="H152" s="167">
        <f t="shared" si="27"/>
        <v>0</v>
      </c>
      <c r="I152" s="317">
        <f t="shared" si="28"/>
        <v>0</v>
      </c>
      <c r="J152" s="162">
        <f t="shared" si="31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4"/>
        <v>0</v>
      </c>
    </row>
    <row r="153" spans="2:16">
      <c r="B153" s="9" t="str">
        <f t="shared" si="22"/>
        <v/>
      </c>
      <c r="C153" s="157">
        <f>IF(D93="","-",+C152+1)</f>
        <v>2061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9"/>
        <v>0</v>
      </c>
      <c r="G153" s="163">
        <f t="shared" si="30"/>
        <v>0</v>
      </c>
      <c r="H153" s="167">
        <f t="shared" si="27"/>
        <v>0</v>
      </c>
      <c r="I153" s="317">
        <f t="shared" si="28"/>
        <v>0</v>
      </c>
      <c r="J153" s="162">
        <f t="shared" si="31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4"/>
        <v>0</v>
      </c>
    </row>
    <row r="154" spans="2:16" ht="13.5" thickBot="1">
      <c r="B154" s="9" t="str">
        <f t="shared" si="22"/>
        <v/>
      </c>
      <c r="C154" s="168">
        <f>IF(D93="","-",+C153+1)</f>
        <v>2062</v>
      </c>
      <c r="D154" s="219">
        <f>IF(F153+SUM(E$99:E153)=D$92,F153,D$92-SUM(E$99:E153))</f>
        <v>0</v>
      </c>
      <c r="E154" s="377">
        <f>IF(+J96&lt;F153,J96,D154)</f>
        <v>0</v>
      </c>
      <c r="F154" s="169">
        <f>+D154-E154</f>
        <v>0</v>
      </c>
      <c r="G154" s="169">
        <f>+(F154+D154)/2</f>
        <v>0</v>
      </c>
      <c r="H154" s="171">
        <f t="shared" si="27"/>
        <v>0</v>
      </c>
      <c r="I154" s="318">
        <f t="shared" si="28"/>
        <v>0</v>
      </c>
      <c r="J154" s="173">
        <f t="shared" si="31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4"/>
        <v>0</v>
      </c>
    </row>
    <row r="155" spans="2:16">
      <c r="C155" s="158" t="s">
        <v>72</v>
      </c>
      <c r="D155" s="115"/>
      <c r="E155" s="115">
        <f>SUM(E99:E154)</f>
        <v>84424</v>
      </c>
      <c r="F155" s="115"/>
      <c r="G155" s="115"/>
      <c r="H155" s="115">
        <f>SUM(H99:H154)</f>
        <v>353034.00232401333</v>
      </c>
      <c r="I155" s="115">
        <f>SUM(I99:I154)</f>
        <v>353034.00232401333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143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6" priority="1" stopIfTrue="1" operator="equal">
      <formula>$I$10</formula>
    </cfRule>
  </conditionalFormatting>
  <conditionalFormatting sqref="C99:C154">
    <cfRule type="cellIs" dxfId="45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6">
    <tabColor rgb="FFC00000"/>
  </sheetPr>
  <dimension ref="A1:P162"/>
  <sheetViews>
    <sheetView view="pageBreakPreview" zoomScale="75" zoomScaleNormal="10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8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6208.7809286346592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6208.7809286346592</v>
      </c>
      <c r="O6" s="1"/>
      <c r="P6" s="1"/>
    </row>
    <row r="7" spans="1:16" ht="13.5" thickBot="1">
      <c r="C7" s="127" t="s">
        <v>41</v>
      </c>
      <c r="D7" s="343" t="s">
        <v>206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82</v>
      </c>
      <c r="E9" s="428" t="s">
        <v>308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56133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2006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3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1403.325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2006</v>
      </c>
      <c r="D17" s="366">
        <v>56133</v>
      </c>
      <c r="E17" s="367">
        <v>752</v>
      </c>
      <c r="F17" s="366">
        <v>55381</v>
      </c>
      <c r="G17" s="367">
        <v>0</v>
      </c>
      <c r="H17" s="370">
        <v>0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2007</v>
      </c>
      <c r="D18" s="371">
        <v>55381</v>
      </c>
      <c r="E18" s="368">
        <v>1002</v>
      </c>
      <c r="F18" s="371">
        <v>54379</v>
      </c>
      <c r="G18" s="368">
        <v>0</v>
      </c>
      <c r="H18" s="370">
        <v>0</v>
      </c>
      <c r="I18" s="160">
        <f t="shared" si="0"/>
        <v>0</v>
      </c>
      <c r="J18" s="160"/>
      <c r="K18" s="338">
        <v>0</v>
      </c>
      <c r="L18" s="162">
        <f t="shared" si="1"/>
        <v>0</v>
      </c>
      <c r="M18" s="338">
        <v>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2008</v>
      </c>
      <c r="D19" s="371">
        <v>54379</v>
      </c>
      <c r="E19" s="368">
        <v>1002</v>
      </c>
      <c r="F19" s="371">
        <v>53377</v>
      </c>
      <c r="G19" s="368">
        <v>0</v>
      </c>
      <c r="H19" s="370">
        <v>0</v>
      </c>
      <c r="I19" s="160">
        <f t="shared" si="0"/>
        <v>0</v>
      </c>
      <c r="J19" s="160"/>
      <c r="K19" s="338">
        <v>0</v>
      </c>
      <c r="L19" s="162">
        <f t="shared" si="1"/>
        <v>0</v>
      </c>
      <c r="M19" s="338">
        <v>0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4">IF(D20=F19,"","IU")</f>
        <v/>
      </c>
      <c r="C20" s="157">
        <f>IF(D11="","-",+C19+1)</f>
        <v>2009</v>
      </c>
      <c r="D20" s="371">
        <v>53377</v>
      </c>
      <c r="E20" s="368">
        <v>1002</v>
      </c>
      <c r="F20" s="371">
        <v>52375</v>
      </c>
      <c r="G20" s="368">
        <v>0</v>
      </c>
      <c r="H20" s="370">
        <v>0</v>
      </c>
      <c r="I20" s="160">
        <f t="shared" si="0"/>
        <v>0</v>
      </c>
      <c r="J20" s="160"/>
      <c r="K20" s="338">
        <v>0</v>
      </c>
      <c r="L20" s="162">
        <f t="shared" si="1"/>
        <v>0</v>
      </c>
      <c r="M20" s="338">
        <v>0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2010</v>
      </c>
      <c r="D21" s="371">
        <v>52375</v>
      </c>
      <c r="E21" s="368">
        <v>1002.375</v>
      </c>
      <c r="F21" s="371">
        <v>51372.625</v>
      </c>
      <c r="G21" s="368">
        <v>8415.2657154769768</v>
      </c>
      <c r="H21" s="370">
        <v>8415.2657154769768</v>
      </c>
      <c r="I21" s="160">
        <f t="shared" si="0"/>
        <v>0</v>
      </c>
      <c r="J21" s="160"/>
      <c r="K21" s="338">
        <f t="shared" ref="K21:K26" si="5">G21</f>
        <v>8415.2657154769768</v>
      </c>
      <c r="L21" s="272">
        <f t="shared" si="1"/>
        <v>0</v>
      </c>
      <c r="M21" s="338">
        <f t="shared" ref="M21:M26" si="6">H21</f>
        <v>8415.2657154769768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2011</v>
      </c>
      <c r="D22" s="371">
        <v>51372.625</v>
      </c>
      <c r="E22" s="368">
        <v>1100.6470588235295</v>
      </c>
      <c r="F22" s="371">
        <v>50271.977941176468</v>
      </c>
      <c r="G22" s="368">
        <v>8970.3904929935452</v>
      </c>
      <c r="H22" s="370">
        <v>8970.3904929935452</v>
      </c>
      <c r="I22" s="160">
        <f t="shared" si="0"/>
        <v>0</v>
      </c>
      <c r="J22" s="160"/>
      <c r="K22" s="338">
        <f t="shared" si="5"/>
        <v>8970.3904929935452</v>
      </c>
      <c r="L22" s="272">
        <f t="shared" si="1"/>
        <v>0</v>
      </c>
      <c r="M22" s="338">
        <f t="shared" si="6"/>
        <v>8970.3904929935452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2012</v>
      </c>
      <c r="D23" s="371">
        <v>50271.977941176468</v>
      </c>
      <c r="E23" s="368">
        <v>1079.4807692307693</v>
      </c>
      <c r="F23" s="371">
        <v>49192.497171945703</v>
      </c>
      <c r="G23" s="368">
        <v>7927.4076335998161</v>
      </c>
      <c r="H23" s="370">
        <v>7927.4076335998161</v>
      </c>
      <c r="I23" s="160">
        <f t="shared" si="0"/>
        <v>0</v>
      </c>
      <c r="J23" s="160"/>
      <c r="K23" s="338">
        <f t="shared" si="5"/>
        <v>7927.4076335998161</v>
      </c>
      <c r="L23" s="272">
        <f t="shared" si="1"/>
        <v>0</v>
      </c>
      <c r="M23" s="338">
        <f t="shared" si="6"/>
        <v>7927.4076335998161</v>
      </c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4"/>
        <v/>
      </c>
      <c r="C24" s="157">
        <f>IF(D11="","-",+C23+1)</f>
        <v>2013</v>
      </c>
      <c r="D24" s="371">
        <v>49192.497171945703</v>
      </c>
      <c r="E24" s="368">
        <v>1079.4807692307693</v>
      </c>
      <c r="F24" s="371">
        <v>48113.016402714937</v>
      </c>
      <c r="G24" s="368">
        <v>7950.3447729090094</v>
      </c>
      <c r="H24" s="370">
        <v>7950.3447729090094</v>
      </c>
      <c r="I24" s="160">
        <v>0</v>
      </c>
      <c r="J24" s="160"/>
      <c r="K24" s="338">
        <f t="shared" si="5"/>
        <v>7950.3447729090094</v>
      </c>
      <c r="L24" s="272">
        <f t="shared" ref="L24:L29" si="7">IF(K24&lt;&gt;0,+G24-K24,0)</f>
        <v>0</v>
      </c>
      <c r="M24" s="338">
        <f t="shared" si="6"/>
        <v>7950.3447729090094</v>
      </c>
      <c r="N24" s="162">
        <f t="shared" ref="N24:N29" si="8">IF(M24&lt;&gt;0,+H24-M24,0)</f>
        <v>0</v>
      </c>
      <c r="O24" s="162">
        <f t="shared" ref="O24:O29" si="9">+N24-L24</f>
        <v>0</v>
      </c>
      <c r="P24" s="4"/>
    </row>
    <row r="25" spans="2:16">
      <c r="B25" s="9" t="str">
        <f t="shared" si="4"/>
        <v/>
      </c>
      <c r="C25" s="157">
        <f>IF(D11="","-",+C24+1)</f>
        <v>2014</v>
      </c>
      <c r="D25" s="371">
        <v>48113.016402714937</v>
      </c>
      <c r="E25" s="368">
        <v>1079.4807692307693</v>
      </c>
      <c r="F25" s="371">
        <v>47033.535633484171</v>
      </c>
      <c r="G25" s="368">
        <v>7554.0593246775043</v>
      </c>
      <c r="H25" s="370">
        <v>7554.0593246775043</v>
      </c>
      <c r="I25" s="160">
        <v>0</v>
      </c>
      <c r="J25" s="160"/>
      <c r="K25" s="338">
        <f t="shared" si="5"/>
        <v>7554.0593246775043</v>
      </c>
      <c r="L25" s="272">
        <f t="shared" si="7"/>
        <v>0</v>
      </c>
      <c r="M25" s="338">
        <f t="shared" si="6"/>
        <v>7554.0593246775043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4"/>
        <v/>
      </c>
      <c r="C26" s="157">
        <f>IF(D11="","-",+C25+1)</f>
        <v>2015</v>
      </c>
      <c r="D26" s="371">
        <v>47033.535633484171</v>
      </c>
      <c r="E26" s="368">
        <v>1079.4807692307693</v>
      </c>
      <c r="F26" s="371">
        <v>45954.054864253405</v>
      </c>
      <c r="G26" s="368">
        <v>7415.24244849963</v>
      </c>
      <c r="H26" s="370">
        <v>7415.24244849963</v>
      </c>
      <c r="I26" s="160">
        <v>0</v>
      </c>
      <c r="J26" s="160"/>
      <c r="K26" s="338">
        <f t="shared" si="5"/>
        <v>7415.24244849963</v>
      </c>
      <c r="L26" s="272">
        <f t="shared" si="7"/>
        <v>0</v>
      </c>
      <c r="M26" s="338">
        <f t="shared" si="6"/>
        <v>7415.24244849963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4"/>
        <v/>
      </c>
      <c r="C27" s="157">
        <f>IF(D11="","-",+C26+1)</f>
        <v>2016</v>
      </c>
      <c r="D27" s="371">
        <v>45954.054864253405</v>
      </c>
      <c r="E27" s="368">
        <v>1079.4807692307693</v>
      </c>
      <c r="F27" s="371">
        <v>44874.574095022639</v>
      </c>
      <c r="G27" s="368">
        <v>6965.2134846377958</v>
      </c>
      <c r="H27" s="370">
        <v>6965.2134846377958</v>
      </c>
      <c r="I27" s="160">
        <f t="shared" si="0"/>
        <v>0</v>
      </c>
      <c r="J27" s="160"/>
      <c r="K27" s="338">
        <f>G27</f>
        <v>6965.2134846377958</v>
      </c>
      <c r="L27" s="272">
        <f t="shared" si="7"/>
        <v>0</v>
      </c>
      <c r="M27" s="338">
        <f>H27</f>
        <v>6965.2134846377958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4"/>
        <v/>
      </c>
      <c r="C28" s="157">
        <f>IF(D11="","-",+C27+1)</f>
        <v>2017</v>
      </c>
      <c r="D28" s="371">
        <v>44874.574095022639</v>
      </c>
      <c r="E28" s="368">
        <v>1220.2826086956522</v>
      </c>
      <c r="F28" s="371">
        <v>43654.291486326983</v>
      </c>
      <c r="G28" s="368">
        <v>6775.7563236207252</v>
      </c>
      <c r="H28" s="370">
        <v>6775.7563236207252</v>
      </c>
      <c r="I28" s="160">
        <v>0</v>
      </c>
      <c r="J28" s="160"/>
      <c r="K28" s="338">
        <f>G28</f>
        <v>6775.7563236207252</v>
      </c>
      <c r="L28" s="272">
        <f t="shared" si="7"/>
        <v>0</v>
      </c>
      <c r="M28" s="338">
        <f>H28</f>
        <v>6775.7563236207252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4"/>
        <v/>
      </c>
      <c r="C29" s="157">
        <f>IF(D11="","-",+C28+1)</f>
        <v>2018</v>
      </c>
      <c r="D29" s="371">
        <v>43654.291486326983</v>
      </c>
      <c r="E29" s="368">
        <v>1247.4000000000001</v>
      </c>
      <c r="F29" s="371">
        <v>42406.891486326982</v>
      </c>
      <c r="G29" s="368">
        <v>6400.6980544313355</v>
      </c>
      <c r="H29" s="370">
        <v>6400.6980544313355</v>
      </c>
      <c r="I29" s="160">
        <f t="shared" si="0"/>
        <v>0</v>
      </c>
      <c r="J29" s="160"/>
      <c r="K29" s="338">
        <f>G29</f>
        <v>6400.6980544313355</v>
      </c>
      <c r="L29" s="272">
        <f t="shared" si="7"/>
        <v>0</v>
      </c>
      <c r="M29" s="338">
        <f>H29</f>
        <v>6400.6980544313355</v>
      </c>
      <c r="N29" s="162">
        <f t="shared" si="8"/>
        <v>0</v>
      </c>
      <c r="O29" s="162">
        <f t="shared" si="9"/>
        <v>0</v>
      </c>
      <c r="P29" s="4"/>
    </row>
    <row r="30" spans="2:16">
      <c r="B30" s="9" t="str">
        <f t="shared" si="4"/>
        <v/>
      </c>
      <c r="C30" s="157">
        <f>IF(D11="","-",+C29+1)</f>
        <v>2019</v>
      </c>
      <c r="D30" s="163">
        <f>IF(F29+SUM(E$17:E29)=D$10,F29,D$10-SUM(E$17:E29))</f>
        <v>42406.891486326982</v>
      </c>
      <c r="E30" s="164">
        <f>IF(+I14&lt;F29,I14,D30)</f>
        <v>1403.325</v>
      </c>
      <c r="F30" s="163">
        <f t="shared" ref="F30:F48" si="10">+D30-E30</f>
        <v>41003.566486326985</v>
      </c>
      <c r="G30" s="165">
        <f t="shared" ref="G30:G72" si="11">(D30+F30)/2*I$12+E30</f>
        <v>6208.7809286346592</v>
      </c>
      <c r="H30" s="147">
        <f t="shared" ref="H30:H72" si="12">+(D30+F30)/2*I$13+E30</f>
        <v>6208.7809286346592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2020</v>
      </c>
      <c r="D31" s="163">
        <f>IF(F30+SUM(E$17:E30)=D$10,F30,D$10-SUM(E$17:E30))</f>
        <v>41003.566486326985</v>
      </c>
      <c r="E31" s="164">
        <f>IF(+I14&lt;F30,I14,D31)</f>
        <v>1403.325</v>
      </c>
      <c r="F31" s="163">
        <f t="shared" si="10"/>
        <v>39600.241486326988</v>
      </c>
      <c r="G31" s="165">
        <f t="shared" si="11"/>
        <v>6047.0837840568865</v>
      </c>
      <c r="H31" s="147">
        <f t="shared" si="12"/>
        <v>6047.0837840568865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2021</v>
      </c>
      <c r="D32" s="163">
        <f>IF(F31+SUM(E$17:E31)=D$10,F31,D$10-SUM(E$17:E31))</f>
        <v>39600.241486326988</v>
      </c>
      <c r="E32" s="164">
        <f>IF(+I14&lt;F31,I14,D32)</f>
        <v>1403.325</v>
      </c>
      <c r="F32" s="163">
        <f t="shared" si="10"/>
        <v>38196.916486326991</v>
      </c>
      <c r="G32" s="165">
        <f t="shared" si="11"/>
        <v>5885.3866394791148</v>
      </c>
      <c r="H32" s="147">
        <f t="shared" si="12"/>
        <v>5885.3866394791148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2022</v>
      </c>
      <c r="D33" s="163">
        <f>IF(F32+SUM(E$17:E32)=D$10,F32,D$10-SUM(E$17:E32))</f>
        <v>38196.916486326991</v>
      </c>
      <c r="E33" s="164">
        <f>IF(+I14&lt;F32,I14,D33)</f>
        <v>1403.325</v>
      </c>
      <c r="F33" s="163">
        <f t="shared" si="10"/>
        <v>36793.591486326994</v>
      </c>
      <c r="G33" s="165">
        <f t="shared" si="11"/>
        <v>5723.6894949013422</v>
      </c>
      <c r="H33" s="147">
        <f t="shared" si="12"/>
        <v>5723.6894949013422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2023</v>
      </c>
      <c r="D34" s="163">
        <f>IF(F33+SUM(E$17:E33)=D$10,F33,D$10-SUM(E$17:E33))</f>
        <v>36793.591486326994</v>
      </c>
      <c r="E34" s="164">
        <f>IF(+I14&lt;F33,I14,D34)</f>
        <v>1403.325</v>
      </c>
      <c r="F34" s="163">
        <f t="shared" si="10"/>
        <v>35390.266486326997</v>
      </c>
      <c r="G34" s="165">
        <f t="shared" si="11"/>
        <v>5561.9923503235696</v>
      </c>
      <c r="H34" s="147">
        <f t="shared" si="12"/>
        <v>5561.9923503235696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2024</v>
      </c>
      <c r="D35" s="163">
        <f>IF(F34+SUM(E$17:E34)=D$10,F34,D$10-SUM(E$17:E34))</f>
        <v>35390.266486326997</v>
      </c>
      <c r="E35" s="164">
        <f>IF(+I14&lt;F34,I14,D35)</f>
        <v>1403.325</v>
      </c>
      <c r="F35" s="163">
        <f t="shared" si="10"/>
        <v>33986.941486326999</v>
      </c>
      <c r="G35" s="165">
        <f t="shared" si="11"/>
        <v>5400.2952057457978</v>
      </c>
      <c r="H35" s="147">
        <f t="shared" si="12"/>
        <v>5400.2952057457978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2025</v>
      </c>
      <c r="D36" s="163">
        <f>IF(F35+SUM(E$17:E35)=D$10,F35,D$10-SUM(E$17:E35))</f>
        <v>33986.941486326999</v>
      </c>
      <c r="E36" s="164">
        <f>IF(+I14&lt;F35,I14,D36)</f>
        <v>1403.325</v>
      </c>
      <c r="F36" s="163">
        <f t="shared" si="10"/>
        <v>32583.616486326999</v>
      </c>
      <c r="G36" s="165">
        <f t="shared" si="11"/>
        <v>5238.5980611680252</v>
      </c>
      <c r="H36" s="147">
        <f t="shared" si="12"/>
        <v>5238.5980611680252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2026</v>
      </c>
      <c r="D37" s="163">
        <f>IF(F36+SUM(E$17:E36)=D$10,F36,D$10-SUM(E$17:E36))</f>
        <v>32583.616486326999</v>
      </c>
      <c r="E37" s="164">
        <f>IF(+I14&lt;F36,I14,D37)</f>
        <v>1403.325</v>
      </c>
      <c r="F37" s="163">
        <f t="shared" si="10"/>
        <v>31180.291486326998</v>
      </c>
      <c r="G37" s="165">
        <f t="shared" si="11"/>
        <v>5076.9009165902517</v>
      </c>
      <c r="H37" s="147">
        <f t="shared" si="12"/>
        <v>5076.9009165902517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387" t="str">
        <f t="shared" si="4"/>
        <v/>
      </c>
      <c r="C38" s="157">
        <f>IF(D11="","-",+C37+1)</f>
        <v>2027</v>
      </c>
      <c r="D38" s="163">
        <f>IF(F37+SUM(E$17:E37)=D$10,F37,D$10-SUM(E$17:E37))</f>
        <v>31180.291486326998</v>
      </c>
      <c r="E38" s="164">
        <f>IF(+I14&lt;F37,I14,D38)</f>
        <v>1403.325</v>
      </c>
      <c r="F38" s="163">
        <f t="shared" si="10"/>
        <v>29776.966486326997</v>
      </c>
      <c r="G38" s="165">
        <f t="shared" si="11"/>
        <v>4915.203772012479</v>
      </c>
      <c r="H38" s="147">
        <f t="shared" si="12"/>
        <v>4915.203772012479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2028</v>
      </c>
      <c r="D39" s="163">
        <f>IF(F38+SUM(E$17:E38)=D$10,F38,D$10-SUM(E$17:E38))</f>
        <v>29776.966486326997</v>
      </c>
      <c r="E39" s="164">
        <f>IF(+I14&lt;F38,I14,D39)</f>
        <v>1403.325</v>
      </c>
      <c r="F39" s="163">
        <f t="shared" si="10"/>
        <v>28373.641486326997</v>
      </c>
      <c r="G39" s="165">
        <f t="shared" si="11"/>
        <v>4753.5066274347064</v>
      </c>
      <c r="H39" s="147">
        <f t="shared" si="12"/>
        <v>4753.5066274347064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2029</v>
      </c>
      <c r="D40" s="163">
        <f>IF(F39+SUM(E$17:E39)=D$10,F39,D$10-SUM(E$17:E39))</f>
        <v>28373.641486326997</v>
      </c>
      <c r="E40" s="164">
        <f>IF(+I14&lt;F39,I14,D40)</f>
        <v>1403.325</v>
      </c>
      <c r="F40" s="163">
        <f t="shared" si="10"/>
        <v>26970.316486326996</v>
      </c>
      <c r="G40" s="165">
        <f t="shared" si="11"/>
        <v>4591.8094828569338</v>
      </c>
      <c r="H40" s="147">
        <f t="shared" si="12"/>
        <v>4591.8094828569338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2030</v>
      </c>
      <c r="D41" s="163">
        <f>IF(F40+SUM(E$17:E40)=D$10,F40,D$10-SUM(E$17:E40))</f>
        <v>26970.316486326996</v>
      </c>
      <c r="E41" s="164">
        <f>IF(+I14&lt;F40,I14,D41)</f>
        <v>1403.325</v>
      </c>
      <c r="F41" s="163">
        <f t="shared" si="10"/>
        <v>25566.991486326995</v>
      </c>
      <c r="G41" s="165">
        <f t="shared" si="11"/>
        <v>4430.1123382791602</v>
      </c>
      <c r="H41" s="147">
        <f t="shared" si="12"/>
        <v>4430.1123382791602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2031</v>
      </c>
      <c r="D42" s="163">
        <f>IF(F41+SUM(E$17:E41)=D$10,F41,D$10-SUM(E$17:E41))</f>
        <v>25566.991486326995</v>
      </c>
      <c r="E42" s="164">
        <f>IF(+I14&lt;F41,I14,D42)</f>
        <v>1403.325</v>
      </c>
      <c r="F42" s="163">
        <f t="shared" si="10"/>
        <v>24163.666486326994</v>
      </c>
      <c r="G42" s="165">
        <f t="shared" si="11"/>
        <v>4268.4151937013876</v>
      </c>
      <c r="H42" s="147">
        <f t="shared" si="12"/>
        <v>4268.4151937013876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2032</v>
      </c>
      <c r="D43" s="163">
        <f>IF(F42+SUM(E$17:E42)=D$10,F42,D$10-SUM(E$17:E42))</f>
        <v>24163.666486326994</v>
      </c>
      <c r="E43" s="164">
        <f>IF(+I14&lt;F42,I14,D43)</f>
        <v>1403.325</v>
      </c>
      <c r="F43" s="163">
        <f t="shared" si="10"/>
        <v>22760.341486326994</v>
      </c>
      <c r="G43" s="165">
        <f t="shared" si="11"/>
        <v>4106.7180491236149</v>
      </c>
      <c r="H43" s="147">
        <f t="shared" si="12"/>
        <v>4106.7180491236149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2033</v>
      </c>
      <c r="D44" s="163">
        <f>IF(F43+SUM(E$17:E43)=D$10,F43,D$10-SUM(E$17:E43))</f>
        <v>22760.341486326994</v>
      </c>
      <c r="E44" s="164">
        <f>IF(+I14&lt;F43,I14,D44)</f>
        <v>1403.325</v>
      </c>
      <c r="F44" s="163">
        <f t="shared" si="10"/>
        <v>21357.016486326993</v>
      </c>
      <c r="G44" s="165">
        <f t="shared" si="11"/>
        <v>3945.0209045458423</v>
      </c>
      <c r="H44" s="147">
        <f t="shared" si="12"/>
        <v>3945.0209045458423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2034</v>
      </c>
      <c r="D45" s="163">
        <f>IF(F44+SUM(E$17:E44)=D$10,F44,D$10-SUM(E$17:E44))</f>
        <v>21357.016486326993</v>
      </c>
      <c r="E45" s="164">
        <f>IF(+I14&lt;F44,I14,D45)</f>
        <v>1403.325</v>
      </c>
      <c r="F45" s="163">
        <f t="shared" si="10"/>
        <v>19953.691486326992</v>
      </c>
      <c r="G45" s="165">
        <f t="shared" si="11"/>
        <v>3783.3237599680688</v>
      </c>
      <c r="H45" s="147">
        <f t="shared" si="12"/>
        <v>3783.3237599680688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2035</v>
      </c>
      <c r="D46" s="163">
        <f>IF(F45+SUM(E$17:E45)=D$10,F45,D$10-SUM(E$17:E45))</f>
        <v>19953.691486326992</v>
      </c>
      <c r="E46" s="164">
        <f>IF(+I14&lt;F45,I14,D46)</f>
        <v>1403.325</v>
      </c>
      <c r="F46" s="163">
        <f t="shared" si="10"/>
        <v>18550.366486326991</v>
      </c>
      <c r="G46" s="165">
        <f t="shared" si="11"/>
        <v>3621.6266153902961</v>
      </c>
      <c r="H46" s="147">
        <f t="shared" si="12"/>
        <v>3621.6266153902961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2036</v>
      </c>
      <c r="D47" s="163">
        <f>IF(F46+SUM(E$17:E46)=D$10,F46,D$10-SUM(E$17:E46))</f>
        <v>18550.366486326991</v>
      </c>
      <c r="E47" s="164">
        <f>IF(+I14&lt;F46,I14,D47)</f>
        <v>1403.325</v>
      </c>
      <c r="F47" s="163">
        <f t="shared" si="10"/>
        <v>17147.041486326991</v>
      </c>
      <c r="G47" s="165">
        <f t="shared" si="11"/>
        <v>3459.9294708125235</v>
      </c>
      <c r="H47" s="147">
        <f t="shared" si="12"/>
        <v>3459.9294708125235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2037</v>
      </c>
      <c r="D48" s="163">
        <f>IF(F47+SUM(E$17:E47)=D$10,F47,D$10-SUM(E$17:E47))</f>
        <v>17147.041486326991</v>
      </c>
      <c r="E48" s="164">
        <f>IF(+I14&lt;F47,I14,D48)</f>
        <v>1403.325</v>
      </c>
      <c r="F48" s="163">
        <f t="shared" si="10"/>
        <v>15743.71648632699</v>
      </c>
      <c r="G48" s="165">
        <f t="shared" si="11"/>
        <v>3298.2323262347509</v>
      </c>
      <c r="H48" s="147">
        <f t="shared" si="12"/>
        <v>3298.2323262347509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2038</v>
      </c>
      <c r="D49" s="163">
        <f>IF(F48+SUM(E$17:E48)=D$10,F48,D$10-SUM(E$17:E48))</f>
        <v>15743.71648632699</v>
      </c>
      <c r="E49" s="164">
        <f>IF(+I14&lt;F48,I14,D49)</f>
        <v>1403.325</v>
      </c>
      <c r="F49" s="163">
        <f t="shared" ref="F49:F72" si="13">+D49-E49</f>
        <v>14340.391486326989</v>
      </c>
      <c r="G49" s="165">
        <f t="shared" si="11"/>
        <v>3136.5351816569778</v>
      </c>
      <c r="H49" s="147">
        <f t="shared" si="12"/>
        <v>3136.5351816569778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4"/>
        <v/>
      </c>
      <c r="C50" s="157">
        <f>IF(D11="","-",+C49+1)</f>
        <v>2039</v>
      </c>
      <c r="D50" s="163">
        <f>IF(F49+SUM(E$17:E49)=D$10,F49,D$10-SUM(E$17:E49))</f>
        <v>14340.391486326989</v>
      </c>
      <c r="E50" s="164">
        <f>IF(+I14&lt;F49,I14,D50)</f>
        <v>1403.325</v>
      </c>
      <c r="F50" s="163">
        <f t="shared" si="13"/>
        <v>12937.066486326989</v>
      </c>
      <c r="G50" s="165">
        <f t="shared" si="11"/>
        <v>2974.8380370792047</v>
      </c>
      <c r="H50" s="147">
        <f t="shared" si="12"/>
        <v>2974.8380370792047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4"/>
        <v/>
      </c>
      <c r="C51" s="157">
        <f>IF(D11="","-",+C50+1)</f>
        <v>2040</v>
      </c>
      <c r="D51" s="163">
        <f>IF(F50+SUM(E$17:E50)=D$10,F50,D$10-SUM(E$17:E50))</f>
        <v>12937.066486326989</v>
      </c>
      <c r="E51" s="164">
        <f>IF(+I14&lt;F50,I14,D51)</f>
        <v>1403.325</v>
      </c>
      <c r="F51" s="163">
        <f t="shared" si="13"/>
        <v>11533.741486326988</v>
      </c>
      <c r="G51" s="165">
        <f t="shared" si="11"/>
        <v>2813.1408925014321</v>
      </c>
      <c r="H51" s="147">
        <f t="shared" si="12"/>
        <v>2813.1408925014321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4"/>
        <v/>
      </c>
      <c r="C52" s="157">
        <f>IF(D11="","-",+C51+1)</f>
        <v>2041</v>
      </c>
      <c r="D52" s="163">
        <f>IF(F51+SUM(E$17:E51)=D$10,F51,D$10-SUM(E$17:E51))</f>
        <v>11533.741486326988</v>
      </c>
      <c r="E52" s="164">
        <f>IF(+I14&lt;F51,I14,D52)</f>
        <v>1403.325</v>
      </c>
      <c r="F52" s="163">
        <f t="shared" si="13"/>
        <v>10130.416486326987</v>
      </c>
      <c r="G52" s="165">
        <f t="shared" si="11"/>
        <v>2651.4437479236594</v>
      </c>
      <c r="H52" s="147">
        <f t="shared" si="12"/>
        <v>2651.4437479236594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4"/>
        <v/>
      </c>
      <c r="C53" s="157">
        <f>IF(D11="","-",+C52+1)</f>
        <v>2042</v>
      </c>
      <c r="D53" s="163">
        <f>IF(F52+SUM(E$17:E52)=D$10,F52,D$10-SUM(E$17:E52))</f>
        <v>10130.416486326987</v>
      </c>
      <c r="E53" s="164">
        <f>IF(+I14&lt;F52,I14,D53)</f>
        <v>1403.325</v>
      </c>
      <c r="F53" s="163">
        <f t="shared" si="13"/>
        <v>8727.0914863269863</v>
      </c>
      <c r="G53" s="165">
        <f t="shared" si="11"/>
        <v>2489.7466033458863</v>
      </c>
      <c r="H53" s="147">
        <f t="shared" si="12"/>
        <v>2489.7466033458863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4"/>
        <v/>
      </c>
      <c r="C54" s="157">
        <f>IF(D11="","-",+C53+1)</f>
        <v>2043</v>
      </c>
      <c r="D54" s="163">
        <f>IF(F53+SUM(E$17:E53)=D$10,F53,D$10-SUM(E$17:E53))</f>
        <v>8727.0914863269863</v>
      </c>
      <c r="E54" s="164">
        <f>IF(+I14&lt;F53,I14,D54)</f>
        <v>1403.325</v>
      </c>
      <c r="F54" s="163">
        <f t="shared" si="13"/>
        <v>7323.7664863269865</v>
      </c>
      <c r="G54" s="165">
        <f t="shared" si="11"/>
        <v>2328.0494587681137</v>
      </c>
      <c r="H54" s="147">
        <f t="shared" si="12"/>
        <v>2328.0494587681137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4"/>
        <v/>
      </c>
      <c r="C55" s="157">
        <f>IF(D11="","-",+C54+1)</f>
        <v>2044</v>
      </c>
      <c r="D55" s="163">
        <f>IF(F54+SUM(E$17:E54)=D$10,F54,D$10-SUM(E$17:E54))</f>
        <v>7323.7664863269865</v>
      </c>
      <c r="E55" s="164">
        <f>IF(+I14&lt;F54,I14,D55)</f>
        <v>1403.325</v>
      </c>
      <c r="F55" s="163">
        <f t="shared" si="13"/>
        <v>5920.4414863269867</v>
      </c>
      <c r="G55" s="165">
        <f t="shared" si="11"/>
        <v>2166.3523141903411</v>
      </c>
      <c r="H55" s="147">
        <f t="shared" si="12"/>
        <v>2166.3523141903411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4"/>
        <v/>
      </c>
      <c r="C56" s="157">
        <f>IF(D11="","-",+C55+1)</f>
        <v>2045</v>
      </c>
      <c r="D56" s="163">
        <f>IF(F55+SUM(E$17:E55)=D$10,F55,D$10-SUM(E$17:E55))</f>
        <v>5920.4414863269867</v>
      </c>
      <c r="E56" s="164">
        <f>IF(+I14&lt;F55,I14,D56)</f>
        <v>1403.325</v>
      </c>
      <c r="F56" s="163">
        <f t="shared" si="13"/>
        <v>4517.1164863269869</v>
      </c>
      <c r="G56" s="165">
        <f t="shared" si="11"/>
        <v>2004.655169612568</v>
      </c>
      <c r="H56" s="147">
        <f t="shared" si="12"/>
        <v>2004.655169612568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4"/>
        <v/>
      </c>
      <c r="C57" s="157">
        <f>IF(D11="","-",+C56+1)</f>
        <v>2046</v>
      </c>
      <c r="D57" s="163">
        <f>IF(F56+SUM(E$17:E56)=D$10,F56,D$10-SUM(E$17:E56))</f>
        <v>4517.1164863269869</v>
      </c>
      <c r="E57" s="164">
        <f>IF(+I14&lt;F56,I14,D57)</f>
        <v>1403.325</v>
      </c>
      <c r="F57" s="163">
        <f t="shared" si="13"/>
        <v>3113.7914863269871</v>
      </c>
      <c r="G57" s="165">
        <f t="shared" si="11"/>
        <v>1842.9580250347954</v>
      </c>
      <c r="H57" s="147">
        <f t="shared" si="12"/>
        <v>1842.9580250347954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4"/>
        <v/>
      </c>
      <c r="C58" s="157">
        <f>IF(D11="","-",+C57+1)</f>
        <v>2047</v>
      </c>
      <c r="D58" s="163">
        <f>IF(F57+SUM(E$17:E57)=D$10,F57,D$10-SUM(E$17:E57))</f>
        <v>3113.7914863269871</v>
      </c>
      <c r="E58" s="164">
        <f>IF(+I14&lt;F57,I14,D58)</f>
        <v>1403.325</v>
      </c>
      <c r="F58" s="163">
        <f t="shared" si="13"/>
        <v>1710.466486326987</v>
      </c>
      <c r="G58" s="165">
        <f t="shared" si="11"/>
        <v>1681.2608804570227</v>
      </c>
      <c r="H58" s="147">
        <f t="shared" si="12"/>
        <v>1681.2608804570227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4"/>
        <v/>
      </c>
      <c r="C59" s="157">
        <f>IF(D11="","-",+C58+1)</f>
        <v>2048</v>
      </c>
      <c r="D59" s="163">
        <f>IF(F58+SUM(E$17:E58)=D$10,F58,D$10-SUM(E$17:E58))</f>
        <v>1710.466486326987</v>
      </c>
      <c r="E59" s="164">
        <f>IF(+I14&lt;F58,I14,D59)</f>
        <v>1403.325</v>
      </c>
      <c r="F59" s="163">
        <f t="shared" si="13"/>
        <v>307.14148632698698</v>
      </c>
      <c r="G59" s="165">
        <f t="shared" si="11"/>
        <v>1519.5637358792499</v>
      </c>
      <c r="H59" s="147">
        <f t="shared" si="12"/>
        <v>1519.5637358792499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4"/>
        <v/>
      </c>
      <c r="C60" s="157">
        <f>IF(D11="","-",+C59+1)</f>
        <v>2049</v>
      </c>
      <c r="D60" s="163">
        <f>IF(F59+SUM(E$17:E59)=D$10,F59,D$10-SUM(E$17:E59))</f>
        <v>307.14148632698698</v>
      </c>
      <c r="E60" s="164">
        <f>IF(+I14&lt;F59,I14,D60)</f>
        <v>307.14148632698698</v>
      </c>
      <c r="F60" s="163">
        <f t="shared" si="13"/>
        <v>0</v>
      </c>
      <c r="G60" s="165">
        <f t="shared" si="11"/>
        <v>324.83656812216873</v>
      </c>
      <c r="H60" s="147">
        <f t="shared" si="12"/>
        <v>324.83656812216873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4"/>
        <v/>
      </c>
      <c r="C61" s="157">
        <f>IF(D11="","-",+C60+1)</f>
        <v>2050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4"/>
        <v/>
      </c>
      <c r="C62" s="157">
        <f>IF(D11="","-",+C61+1)</f>
        <v>2051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387" t="str">
        <f t="shared" si="4"/>
        <v/>
      </c>
      <c r="C63" s="157">
        <f>IF(D11="","-",+C62+1)</f>
        <v>2052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4"/>
        <v/>
      </c>
      <c r="C64" s="157">
        <f>IF(D11="","-",+C63+1)</f>
        <v>2053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4"/>
        <v/>
      </c>
      <c r="C65" s="157">
        <f>IF(D11="","-",+C64+1)</f>
        <v>2054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4"/>
        <v/>
      </c>
      <c r="C66" s="157">
        <f>IF(D11="","-",+C65+1)</f>
        <v>2055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4"/>
        <v/>
      </c>
      <c r="C67" s="157">
        <f>IF(D11="","-",+C66+1)</f>
        <v>2056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4"/>
        <v/>
      </c>
      <c r="C68" s="157">
        <f>IF(D11="","-",+C67+1)</f>
        <v>2057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4"/>
        <v/>
      </c>
      <c r="C69" s="157">
        <f>IF(D11="","-",+C68+1)</f>
        <v>2058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4"/>
        <v/>
      </c>
      <c r="C70" s="157">
        <f>IF(D11="","-",+C69+1)</f>
        <v>2059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4"/>
        <v/>
      </c>
      <c r="C71" s="157">
        <f>IF(D11="","-",+C70+1)</f>
        <v>2060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2061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56132.999999999978</v>
      </c>
      <c r="F73" s="115"/>
      <c r="G73" s="115">
        <f>SUM(G17:G72)</f>
        <v>184624.3847866772</v>
      </c>
      <c r="H73" s="115">
        <f>SUM(H17:H72)</f>
        <v>184624.3847866772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8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6775.7563236207252</v>
      </c>
      <c r="N87" s="202">
        <f>IF(J92&lt;D11,0,VLOOKUP(J92,C17:O72,11))</f>
        <v>6775.7563236207252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6888.6586283105316</v>
      </c>
      <c r="N88" s="204">
        <f>IF(J92&lt;D11,0,VLOOKUP(J92,C99:P154,7))</f>
        <v>6888.6586283105316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Weleetka &amp; Okmulgee Wavetrap replacement 81-805*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112.90230468980644</v>
      </c>
      <c r="N89" s="207">
        <f>+N88-N87</f>
        <v>112.90230468980644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TP2005046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56133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2006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3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1220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2006</v>
      </c>
      <c r="D99" s="366">
        <v>0</v>
      </c>
      <c r="E99" s="368">
        <v>0</v>
      </c>
      <c r="F99" s="371">
        <v>56133</v>
      </c>
      <c r="G99" s="373">
        <v>28067</v>
      </c>
      <c r="H99" s="374">
        <v>0</v>
      </c>
      <c r="I99" s="375">
        <v>0</v>
      </c>
      <c r="J99" s="162">
        <f t="shared" ref="J99:J130" si="18">+I99-H99</f>
        <v>0</v>
      </c>
      <c r="K99" s="162"/>
      <c r="L99" s="337">
        <v>0</v>
      </c>
      <c r="M99" s="161">
        <f t="shared" ref="M99:M130" si="19">IF(L99&lt;&gt;0,+H99-L99,0)</f>
        <v>0</v>
      </c>
      <c r="N99" s="337">
        <v>0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/>
      </c>
      <c r="C100" s="157">
        <f>IF(D93="","-",+C99+1)</f>
        <v>2007</v>
      </c>
      <c r="D100" s="366">
        <v>56133</v>
      </c>
      <c r="E100" s="368">
        <v>1059</v>
      </c>
      <c r="F100" s="371">
        <v>55074</v>
      </c>
      <c r="G100" s="371">
        <v>55603</v>
      </c>
      <c r="H100" s="368">
        <v>0</v>
      </c>
      <c r="I100" s="370">
        <v>0</v>
      </c>
      <c r="J100" s="162">
        <f t="shared" si="18"/>
        <v>0</v>
      </c>
      <c r="K100" s="162"/>
      <c r="L100" s="338">
        <v>0</v>
      </c>
      <c r="M100" s="162">
        <f t="shared" si="19"/>
        <v>0</v>
      </c>
      <c r="N100" s="338">
        <v>0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2">IF(D101=F100,"","IU")</f>
        <v/>
      </c>
      <c r="C101" s="157">
        <f>IF(D93="","-",+C100+1)</f>
        <v>2008</v>
      </c>
      <c r="D101" s="366">
        <v>55074</v>
      </c>
      <c r="E101" s="368">
        <v>1059</v>
      </c>
      <c r="F101" s="371">
        <v>54015</v>
      </c>
      <c r="G101" s="371">
        <v>54544</v>
      </c>
      <c r="H101" s="368">
        <v>9723</v>
      </c>
      <c r="I101" s="370">
        <v>9723</v>
      </c>
      <c r="J101" s="162">
        <f t="shared" si="18"/>
        <v>0</v>
      </c>
      <c r="K101" s="162"/>
      <c r="L101" s="338">
        <v>9723</v>
      </c>
      <c r="M101" s="162">
        <f t="shared" si="19"/>
        <v>0</v>
      </c>
      <c r="N101" s="338">
        <v>9723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2"/>
        <v/>
      </c>
      <c r="C102" s="157">
        <f>IF(D93="","-",+C101+1)</f>
        <v>2009</v>
      </c>
      <c r="D102" s="366">
        <v>54015</v>
      </c>
      <c r="E102" s="368">
        <v>1002</v>
      </c>
      <c r="F102" s="371">
        <v>53013</v>
      </c>
      <c r="G102" s="371">
        <v>53514</v>
      </c>
      <c r="H102" s="368">
        <v>8826.1899911613018</v>
      </c>
      <c r="I102" s="370">
        <v>8826.1899911613018</v>
      </c>
      <c r="J102" s="162">
        <f t="shared" si="18"/>
        <v>0</v>
      </c>
      <c r="K102" s="162"/>
      <c r="L102" s="380">
        <f t="shared" ref="L102:L107" si="23">H102</f>
        <v>8826.1899911613018</v>
      </c>
      <c r="M102" s="381">
        <f t="shared" si="19"/>
        <v>0</v>
      </c>
      <c r="N102" s="380">
        <f t="shared" ref="N102:N107" si="24">I102</f>
        <v>8826.1899911613018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2"/>
        <v/>
      </c>
      <c r="C103" s="157">
        <f>IF(D93="","-",+C102+1)</f>
        <v>2010</v>
      </c>
      <c r="D103" s="366">
        <v>53013</v>
      </c>
      <c r="E103" s="368">
        <v>1101</v>
      </c>
      <c r="F103" s="371">
        <v>51912</v>
      </c>
      <c r="G103" s="371">
        <v>52462.5</v>
      </c>
      <c r="H103" s="368">
        <v>9537.7685710444202</v>
      </c>
      <c r="I103" s="370">
        <v>9537.7685710444202</v>
      </c>
      <c r="J103" s="162">
        <f t="shared" si="18"/>
        <v>0</v>
      </c>
      <c r="K103" s="162"/>
      <c r="L103" s="380">
        <f t="shared" si="23"/>
        <v>9537.7685710444202</v>
      </c>
      <c r="M103" s="381">
        <f t="shared" si="19"/>
        <v>0</v>
      </c>
      <c r="N103" s="380">
        <f t="shared" si="24"/>
        <v>9537.7685710444202</v>
      </c>
      <c r="O103" s="162">
        <f t="shared" si="20"/>
        <v>0</v>
      </c>
      <c r="P103" s="162">
        <f t="shared" si="21"/>
        <v>0</v>
      </c>
    </row>
    <row r="104" spans="1:16">
      <c r="B104" s="9" t="str">
        <f t="shared" si="22"/>
        <v/>
      </c>
      <c r="C104" s="157">
        <f>IF(D93="","-",+C103+1)</f>
        <v>2011</v>
      </c>
      <c r="D104" s="366">
        <v>51912</v>
      </c>
      <c r="E104" s="368">
        <v>1079</v>
      </c>
      <c r="F104" s="371">
        <v>50833</v>
      </c>
      <c r="G104" s="371">
        <v>51372.5</v>
      </c>
      <c r="H104" s="368">
        <v>8261.5658402233203</v>
      </c>
      <c r="I104" s="370">
        <v>8261.5658402233203</v>
      </c>
      <c r="J104" s="162">
        <f t="shared" si="18"/>
        <v>0</v>
      </c>
      <c r="K104" s="162"/>
      <c r="L104" s="380">
        <f t="shared" si="23"/>
        <v>8261.5658402233203</v>
      </c>
      <c r="M104" s="381">
        <f t="shared" si="19"/>
        <v>0</v>
      </c>
      <c r="N104" s="380">
        <f t="shared" si="24"/>
        <v>8261.5658402233203</v>
      </c>
      <c r="O104" s="162">
        <f t="shared" si="20"/>
        <v>0</v>
      </c>
      <c r="P104" s="162">
        <f t="shared" si="21"/>
        <v>0</v>
      </c>
    </row>
    <row r="105" spans="1:16">
      <c r="B105" s="9" t="str">
        <f t="shared" si="22"/>
        <v/>
      </c>
      <c r="C105" s="157">
        <f>IF(D93="","-",+C104+1)</f>
        <v>2012</v>
      </c>
      <c r="D105" s="366">
        <v>50833</v>
      </c>
      <c r="E105" s="368">
        <v>1079</v>
      </c>
      <c r="F105" s="371">
        <v>49754</v>
      </c>
      <c r="G105" s="371">
        <v>50293.5</v>
      </c>
      <c r="H105" s="368">
        <v>8313.995673781943</v>
      </c>
      <c r="I105" s="370">
        <v>8313.995673781943</v>
      </c>
      <c r="J105" s="162">
        <v>0</v>
      </c>
      <c r="K105" s="162"/>
      <c r="L105" s="380">
        <f t="shared" si="23"/>
        <v>8313.995673781943</v>
      </c>
      <c r="M105" s="381">
        <f>IF(L105&lt;&gt;0,+H105-L105,0)</f>
        <v>0</v>
      </c>
      <c r="N105" s="380">
        <f t="shared" si="24"/>
        <v>8313.995673781943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2"/>
        <v/>
      </c>
      <c r="C106" s="157">
        <f>IF(D93="","-",+C105+1)</f>
        <v>2013</v>
      </c>
      <c r="D106" s="366">
        <v>49754</v>
      </c>
      <c r="E106" s="368">
        <v>1079</v>
      </c>
      <c r="F106" s="371">
        <v>48675</v>
      </c>
      <c r="G106" s="371">
        <v>49214.5</v>
      </c>
      <c r="H106" s="368">
        <v>8162.9151459393179</v>
      </c>
      <c r="I106" s="370">
        <v>8162.9151459393179</v>
      </c>
      <c r="J106" s="162">
        <v>0</v>
      </c>
      <c r="K106" s="162"/>
      <c r="L106" s="380">
        <f t="shared" si="23"/>
        <v>8162.9151459393179</v>
      </c>
      <c r="M106" s="381">
        <f>IF(L106&lt;&gt;0,+H106-L106,0)</f>
        <v>0</v>
      </c>
      <c r="N106" s="380">
        <f t="shared" si="24"/>
        <v>8162.9151459393179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2"/>
        <v/>
      </c>
      <c r="C107" s="157">
        <f>IF(D93="","-",+C106+1)</f>
        <v>2014</v>
      </c>
      <c r="D107" s="366">
        <v>48675</v>
      </c>
      <c r="E107" s="368">
        <v>1079</v>
      </c>
      <c r="F107" s="371">
        <v>47596</v>
      </c>
      <c r="G107" s="371">
        <v>48135.5</v>
      </c>
      <c r="H107" s="368">
        <v>7846.6545337569178</v>
      </c>
      <c r="I107" s="370">
        <v>7846.6545337569178</v>
      </c>
      <c r="J107" s="162">
        <v>0</v>
      </c>
      <c r="K107" s="162"/>
      <c r="L107" s="380">
        <f t="shared" si="23"/>
        <v>7846.6545337569178</v>
      </c>
      <c r="M107" s="381">
        <f>IF(L107&lt;&gt;0,+H107-L107,0)</f>
        <v>0</v>
      </c>
      <c r="N107" s="380">
        <f t="shared" si="24"/>
        <v>7846.6545337569178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22"/>
        <v/>
      </c>
      <c r="C108" s="157">
        <f>IF(D93="","-",+C107+1)</f>
        <v>2015</v>
      </c>
      <c r="D108" s="366">
        <v>47596</v>
      </c>
      <c r="E108" s="368">
        <v>1079</v>
      </c>
      <c r="F108" s="371">
        <v>46517</v>
      </c>
      <c r="G108" s="371">
        <v>47056.5</v>
      </c>
      <c r="H108" s="368">
        <v>7499.4810720950254</v>
      </c>
      <c r="I108" s="370">
        <v>7499.4810720950254</v>
      </c>
      <c r="J108" s="162">
        <f t="shared" si="18"/>
        <v>0</v>
      </c>
      <c r="K108" s="162"/>
      <c r="L108" s="380">
        <f>H108</f>
        <v>7499.4810720950254</v>
      </c>
      <c r="M108" s="381">
        <f>IF(L108&lt;&gt;0,+H108-L108,0)</f>
        <v>0</v>
      </c>
      <c r="N108" s="380">
        <f>I108</f>
        <v>7499.4810720950254</v>
      </c>
      <c r="O108" s="162">
        <f>IF(N108&lt;&gt;0,+I108-N108,0)</f>
        <v>0</v>
      </c>
      <c r="P108" s="162">
        <f>+O108-M108</f>
        <v>0</v>
      </c>
    </row>
    <row r="109" spans="1:16">
      <c r="B109" s="9" t="str">
        <f t="shared" si="22"/>
        <v/>
      </c>
      <c r="C109" s="157">
        <f>IF(D93="","-",+C108+1)</f>
        <v>2016</v>
      </c>
      <c r="D109" s="366">
        <v>46517</v>
      </c>
      <c r="E109" s="368">
        <v>1220</v>
      </c>
      <c r="F109" s="371">
        <v>45297</v>
      </c>
      <c r="G109" s="371">
        <v>45907</v>
      </c>
      <c r="H109" s="368">
        <v>7138.135283574793</v>
      </c>
      <c r="I109" s="370">
        <v>7138.135283574793</v>
      </c>
      <c r="J109" s="162">
        <v>0</v>
      </c>
      <c r="K109" s="162"/>
      <c r="L109" s="380">
        <f>H109</f>
        <v>7138.135283574793</v>
      </c>
      <c r="M109" s="381">
        <f>IF(L109&lt;&gt;0,+H109-L109,0)</f>
        <v>0</v>
      </c>
      <c r="N109" s="380">
        <f>I109</f>
        <v>7138.135283574793</v>
      </c>
      <c r="O109" s="162">
        <f>IF(N109&lt;&gt;0,+I109-N109,0)</f>
        <v>0</v>
      </c>
      <c r="P109" s="162">
        <f>+O109-M109</f>
        <v>0</v>
      </c>
    </row>
    <row r="110" spans="1:16">
      <c r="B110" s="9" t="str">
        <f t="shared" si="22"/>
        <v/>
      </c>
      <c r="C110" s="157">
        <f>IF(D93="","-",+C109+1)</f>
        <v>2017</v>
      </c>
      <c r="D110" s="158">
        <f>IF(F109+SUM(E$99:E109)=D$92,F109,D$92-SUM(E$99:E109))</f>
        <v>45297</v>
      </c>
      <c r="E110" s="165">
        <f>IF(+J96&lt;F109,J96,D110)</f>
        <v>1220</v>
      </c>
      <c r="F110" s="163">
        <f t="shared" ref="F110:F130" si="25">+D110-E110</f>
        <v>44077</v>
      </c>
      <c r="G110" s="163">
        <f t="shared" ref="G110:G130" si="26">+(F110+D110)/2</f>
        <v>44687</v>
      </c>
      <c r="H110" s="167">
        <f t="shared" ref="H110:H154" si="27">+J$94*G110+E110</f>
        <v>6888.6586283105316</v>
      </c>
      <c r="I110" s="317">
        <f t="shared" ref="I110:I154" si="28">+J$95*G110+E110</f>
        <v>6888.6586283105316</v>
      </c>
      <c r="J110" s="162">
        <f t="shared" si="18"/>
        <v>0</v>
      </c>
      <c r="K110" s="162"/>
      <c r="L110" s="335"/>
      <c r="M110" s="162">
        <f t="shared" si="19"/>
        <v>0</v>
      </c>
      <c r="N110" s="335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2"/>
        <v/>
      </c>
      <c r="C111" s="157">
        <f>IF(D93="","-",+C110+1)</f>
        <v>2018</v>
      </c>
      <c r="D111" s="158">
        <f>IF(F110+SUM(E$99:E110)=D$92,F110,D$92-SUM(E$99:E110))</f>
        <v>44077</v>
      </c>
      <c r="E111" s="165">
        <f>IF(+J96&lt;F110,J96,D111)</f>
        <v>1220</v>
      </c>
      <c r="F111" s="163">
        <f t="shared" si="25"/>
        <v>42857</v>
      </c>
      <c r="G111" s="163">
        <f t="shared" si="26"/>
        <v>43467</v>
      </c>
      <c r="H111" s="167">
        <f t="shared" si="27"/>
        <v>6733.8985520794386</v>
      </c>
      <c r="I111" s="317">
        <f t="shared" si="28"/>
        <v>6733.8985520794386</v>
      </c>
      <c r="J111" s="162">
        <f t="shared" si="18"/>
        <v>0</v>
      </c>
      <c r="K111" s="162"/>
      <c r="L111" s="335"/>
      <c r="M111" s="162">
        <f t="shared" si="19"/>
        <v>0</v>
      </c>
      <c r="N111" s="335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2"/>
        <v/>
      </c>
      <c r="C112" s="157">
        <f>IF(D93="","-",+C111+1)</f>
        <v>2019</v>
      </c>
      <c r="D112" s="158">
        <f>IF(F111+SUM(E$99:E111)=D$92,F111,D$92-SUM(E$99:E111))</f>
        <v>42857</v>
      </c>
      <c r="E112" s="165">
        <f>IF(+J96&lt;F111,J96,D112)</f>
        <v>1220</v>
      </c>
      <c r="F112" s="163">
        <f t="shared" si="25"/>
        <v>41637</v>
      </c>
      <c r="G112" s="163">
        <f t="shared" si="26"/>
        <v>42247</v>
      </c>
      <c r="H112" s="167">
        <f t="shared" si="27"/>
        <v>6579.1384758483455</v>
      </c>
      <c r="I112" s="317">
        <f t="shared" si="28"/>
        <v>6579.1384758483455</v>
      </c>
      <c r="J112" s="162">
        <f t="shared" si="18"/>
        <v>0</v>
      </c>
      <c r="K112" s="162"/>
      <c r="L112" s="335"/>
      <c r="M112" s="162">
        <f t="shared" si="19"/>
        <v>0</v>
      </c>
      <c r="N112" s="335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2"/>
        <v/>
      </c>
      <c r="C113" s="157">
        <f>IF(D93="","-",+C112+1)</f>
        <v>2020</v>
      </c>
      <c r="D113" s="158">
        <f>IF(F112+SUM(E$99:E112)=D$92,F112,D$92-SUM(E$99:E112))</f>
        <v>41637</v>
      </c>
      <c r="E113" s="165">
        <f>IF(+J96&lt;F112,J96,D113)</f>
        <v>1220</v>
      </c>
      <c r="F113" s="163">
        <f t="shared" si="25"/>
        <v>40417</v>
      </c>
      <c r="G113" s="163">
        <f t="shared" si="26"/>
        <v>41027</v>
      </c>
      <c r="H113" s="167">
        <f t="shared" si="27"/>
        <v>6424.3783996172524</v>
      </c>
      <c r="I113" s="317">
        <f t="shared" si="28"/>
        <v>6424.3783996172524</v>
      </c>
      <c r="J113" s="162">
        <f t="shared" si="18"/>
        <v>0</v>
      </c>
      <c r="K113" s="162"/>
      <c r="L113" s="335"/>
      <c r="M113" s="162">
        <f t="shared" si="19"/>
        <v>0</v>
      </c>
      <c r="N113" s="335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2"/>
        <v/>
      </c>
      <c r="C114" s="157">
        <f>IF(D93="","-",+C113+1)</f>
        <v>2021</v>
      </c>
      <c r="D114" s="158">
        <f>IF(F113+SUM(E$99:E113)=D$92,F113,D$92-SUM(E$99:E113))</f>
        <v>40417</v>
      </c>
      <c r="E114" s="165">
        <f>IF(+J96&lt;F113,J96,D114)</f>
        <v>1220</v>
      </c>
      <c r="F114" s="163">
        <f t="shared" si="25"/>
        <v>39197</v>
      </c>
      <c r="G114" s="163">
        <f t="shared" si="26"/>
        <v>39807</v>
      </c>
      <c r="H114" s="167">
        <f t="shared" si="27"/>
        <v>6269.6183233861602</v>
      </c>
      <c r="I114" s="317">
        <f t="shared" si="28"/>
        <v>6269.6183233861602</v>
      </c>
      <c r="J114" s="162">
        <f t="shared" si="18"/>
        <v>0</v>
      </c>
      <c r="K114" s="162"/>
      <c r="L114" s="335"/>
      <c r="M114" s="162">
        <f t="shared" si="19"/>
        <v>0</v>
      </c>
      <c r="N114" s="335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2"/>
        <v/>
      </c>
      <c r="C115" s="157">
        <f>IF(D93="","-",+C114+1)</f>
        <v>2022</v>
      </c>
      <c r="D115" s="158">
        <f>IF(F114+SUM(E$99:E114)=D$92,F114,D$92-SUM(E$99:E114))</f>
        <v>39197</v>
      </c>
      <c r="E115" s="165">
        <f>IF(+J96&lt;F114,J96,D115)</f>
        <v>1220</v>
      </c>
      <c r="F115" s="163">
        <f t="shared" si="25"/>
        <v>37977</v>
      </c>
      <c r="G115" s="163">
        <f t="shared" si="26"/>
        <v>38587</v>
      </c>
      <c r="H115" s="167">
        <f t="shared" si="27"/>
        <v>6114.8582471550671</v>
      </c>
      <c r="I115" s="317">
        <f t="shared" si="28"/>
        <v>6114.8582471550671</v>
      </c>
      <c r="J115" s="162">
        <f t="shared" si="18"/>
        <v>0</v>
      </c>
      <c r="K115" s="162"/>
      <c r="L115" s="335"/>
      <c r="M115" s="162">
        <f t="shared" si="19"/>
        <v>0</v>
      </c>
      <c r="N115" s="335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2"/>
        <v/>
      </c>
      <c r="C116" s="157">
        <f>IF(D93="","-",+C115+1)</f>
        <v>2023</v>
      </c>
      <c r="D116" s="158">
        <f>IF(F115+SUM(E$99:E115)=D$92,F115,D$92-SUM(E$99:E115))</f>
        <v>37977</v>
      </c>
      <c r="E116" s="165">
        <f>IF(+J96&lt;F115,J96,D116)</f>
        <v>1220</v>
      </c>
      <c r="F116" s="163">
        <f t="shared" si="25"/>
        <v>36757</v>
      </c>
      <c r="G116" s="163">
        <f t="shared" si="26"/>
        <v>37367</v>
      </c>
      <c r="H116" s="167">
        <f t="shared" si="27"/>
        <v>5960.0981709239741</v>
      </c>
      <c r="I116" s="317">
        <f t="shared" si="28"/>
        <v>5960.0981709239741</v>
      </c>
      <c r="J116" s="162">
        <f t="shared" si="18"/>
        <v>0</v>
      </c>
      <c r="K116" s="162"/>
      <c r="L116" s="335"/>
      <c r="M116" s="162">
        <f t="shared" si="19"/>
        <v>0</v>
      </c>
      <c r="N116" s="335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2"/>
        <v/>
      </c>
      <c r="C117" s="157">
        <f>IF(D93="","-",+C116+1)</f>
        <v>2024</v>
      </c>
      <c r="D117" s="158">
        <f>IF(F116+SUM(E$99:E116)=D$92,F116,D$92-SUM(E$99:E116))</f>
        <v>36757</v>
      </c>
      <c r="E117" s="165">
        <f>IF(+J96&lt;F116,J96,D117)</f>
        <v>1220</v>
      </c>
      <c r="F117" s="163">
        <f t="shared" si="25"/>
        <v>35537</v>
      </c>
      <c r="G117" s="163">
        <f t="shared" si="26"/>
        <v>36147</v>
      </c>
      <c r="H117" s="167">
        <f t="shared" si="27"/>
        <v>5805.338094692881</v>
      </c>
      <c r="I117" s="317">
        <f t="shared" si="28"/>
        <v>5805.338094692881</v>
      </c>
      <c r="J117" s="162">
        <f t="shared" si="18"/>
        <v>0</v>
      </c>
      <c r="K117" s="162"/>
      <c r="L117" s="335"/>
      <c r="M117" s="162">
        <f t="shared" si="19"/>
        <v>0</v>
      </c>
      <c r="N117" s="335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2"/>
        <v/>
      </c>
      <c r="C118" s="157">
        <f>IF(D93="","-",+C117+1)</f>
        <v>2025</v>
      </c>
      <c r="D118" s="158">
        <f>IF(F117+SUM(E$99:E117)=D$92,F117,D$92-SUM(E$99:E117))</f>
        <v>35537</v>
      </c>
      <c r="E118" s="165">
        <f>IF(+J96&lt;F117,J96,D118)</f>
        <v>1220</v>
      </c>
      <c r="F118" s="163">
        <f t="shared" si="25"/>
        <v>34317</v>
      </c>
      <c r="G118" s="163">
        <f t="shared" si="26"/>
        <v>34927</v>
      </c>
      <c r="H118" s="167">
        <f t="shared" si="27"/>
        <v>5650.5780184617879</v>
      </c>
      <c r="I118" s="317">
        <f t="shared" si="28"/>
        <v>5650.5780184617879</v>
      </c>
      <c r="J118" s="162">
        <f t="shared" si="18"/>
        <v>0</v>
      </c>
      <c r="K118" s="162"/>
      <c r="L118" s="335"/>
      <c r="M118" s="162">
        <f t="shared" si="19"/>
        <v>0</v>
      </c>
      <c r="N118" s="335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2"/>
        <v/>
      </c>
      <c r="C119" s="157">
        <f>IF(D93="","-",+C118+1)</f>
        <v>2026</v>
      </c>
      <c r="D119" s="158">
        <f>IF(F118+SUM(E$99:E118)=D$92,F118,D$92-SUM(E$99:E118))</f>
        <v>34317</v>
      </c>
      <c r="E119" s="165">
        <f>IF(+J96&lt;F118,J96,D119)</f>
        <v>1220</v>
      </c>
      <c r="F119" s="163">
        <f t="shared" si="25"/>
        <v>33097</v>
      </c>
      <c r="G119" s="163">
        <f t="shared" si="26"/>
        <v>33707</v>
      </c>
      <c r="H119" s="167">
        <f t="shared" si="27"/>
        <v>5495.8179422306957</v>
      </c>
      <c r="I119" s="317">
        <f t="shared" si="28"/>
        <v>5495.8179422306957</v>
      </c>
      <c r="J119" s="162">
        <f t="shared" si="18"/>
        <v>0</v>
      </c>
      <c r="K119" s="162"/>
      <c r="L119" s="335"/>
      <c r="M119" s="162">
        <f t="shared" si="19"/>
        <v>0</v>
      </c>
      <c r="N119" s="335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2"/>
        <v/>
      </c>
      <c r="C120" s="157">
        <f>IF(D93="","-",+C119+1)</f>
        <v>2027</v>
      </c>
      <c r="D120" s="158">
        <f>IF(F119+SUM(E$99:E119)=D$92,F119,D$92-SUM(E$99:E119))</f>
        <v>33097</v>
      </c>
      <c r="E120" s="165">
        <f>IF(+J96&lt;F119,J96,D120)</f>
        <v>1220</v>
      </c>
      <c r="F120" s="163">
        <f t="shared" si="25"/>
        <v>31877</v>
      </c>
      <c r="G120" s="163">
        <f t="shared" si="26"/>
        <v>32487</v>
      </c>
      <c r="H120" s="167">
        <f t="shared" si="27"/>
        <v>5341.0578659996027</v>
      </c>
      <c r="I120" s="317">
        <f t="shared" si="28"/>
        <v>5341.0578659996027</v>
      </c>
      <c r="J120" s="162">
        <f t="shared" si="18"/>
        <v>0</v>
      </c>
      <c r="K120" s="162"/>
      <c r="L120" s="335"/>
      <c r="M120" s="162">
        <f t="shared" si="19"/>
        <v>0</v>
      </c>
      <c r="N120" s="335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2"/>
        <v/>
      </c>
      <c r="C121" s="157">
        <f>IF(D93="","-",+C120+1)</f>
        <v>2028</v>
      </c>
      <c r="D121" s="158">
        <f>IF(F120+SUM(E$99:E120)=D$92,F120,D$92-SUM(E$99:E120))</f>
        <v>31877</v>
      </c>
      <c r="E121" s="165">
        <f>IF(+J96&lt;F120,J96,D121)</f>
        <v>1220</v>
      </c>
      <c r="F121" s="163">
        <f t="shared" si="25"/>
        <v>30657</v>
      </c>
      <c r="G121" s="163">
        <f t="shared" si="26"/>
        <v>31267</v>
      </c>
      <c r="H121" s="167">
        <f t="shared" si="27"/>
        <v>5186.2977897685096</v>
      </c>
      <c r="I121" s="317">
        <f t="shared" si="28"/>
        <v>5186.2977897685096</v>
      </c>
      <c r="J121" s="162">
        <f t="shared" si="18"/>
        <v>0</v>
      </c>
      <c r="K121" s="162"/>
      <c r="L121" s="335"/>
      <c r="M121" s="162">
        <f t="shared" si="19"/>
        <v>0</v>
      </c>
      <c r="N121" s="335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2"/>
        <v/>
      </c>
      <c r="C122" s="157">
        <f>IF(D93="","-",+C121+1)</f>
        <v>2029</v>
      </c>
      <c r="D122" s="158">
        <f>IF(F121+SUM(E$99:E121)=D$92,F121,D$92-SUM(E$99:E121))</f>
        <v>30657</v>
      </c>
      <c r="E122" s="165">
        <f>IF(+J96&lt;F121,J96,D122)</f>
        <v>1220</v>
      </c>
      <c r="F122" s="163">
        <f t="shared" si="25"/>
        <v>29437</v>
      </c>
      <c r="G122" s="163">
        <f t="shared" si="26"/>
        <v>30047</v>
      </c>
      <c r="H122" s="167">
        <f t="shared" si="27"/>
        <v>5031.5377135374165</v>
      </c>
      <c r="I122" s="317">
        <f t="shared" si="28"/>
        <v>5031.5377135374165</v>
      </c>
      <c r="J122" s="162">
        <f t="shared" si="18"/>
        <v>0</v>
      </c>
      <c r="K122" s="162"/>
      <c r="L122" s="335"/>
      <c r="M122" s="162">
        <f t="shared" si="19"/>
        <v>0</v>
      </c>
      <c r="N122" s="335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2"/>
        <v/>
      </c>
      <c r="C123" s="157">
        <f>IF(D93="","-",+C122+1)</f>
        <v>2030</v>
      </c>
      <c r="D123" s="158">
        <f>IF(F122+SUM(E$99:E122)=D$92,F122,D$92-SUM(E$99:E122))</f>
        <v>29437</v>
      </c>
      <c r="E123" s="165">
        <f>IF(+J96&lt;F122,J96,D123)</f>
        <v>1220</v>
      </c>
      <c r="F123" s="163">
        <f t="shared" si="25"/>
        <v>28217</v>
      </c>
      <c r="G123" s="163">
        <f t="shared" si="26"/>
        <v>28827</v>
      </c>
      <c r="H123" s="167">
        <f t="shared" si="27"/>
        <v>4876.7776373063243</v>
      </c>
      <c r="I123" s="317">
        <f t="shared" si="28"/>
        <v>4876.7776373063243</v>
      </c>
      <c r="J123" s="162">
        <f t="shared" si="18"/>
        <v>0</v>
      </c>
      <c r="K123" s="162"/>
      <c r="L123" s="335"/>
      <c r="M123" s="162">
        <f t="shared" si="19"/>
        <v>0</v>
      </c>
      <c r="N123" s="335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2"/>
        <v/>
      </c>
      <c r="C124" s="157">
        <f>IF(D93="","-",+C123+1)</f>
        <v>2031</v>
      </c>
      <c r="D124" s="158">
        <f>IF(F123+SUM(E$99:E123)=D$92,F123,D$92-SUM(E$99:E123))</f>
        <v>28217</v>
      </c>
      <c r="E124" s="165">
        <f>IF(+J96&lt;F123,J96,D124)</f>
        <v>1220</v>
      </c>
      <c r="F124" s="163">
        <f t="shared" si="25"/>
        <v>26997</v>
      </c>
      <c r="G124" s="163">
        <f t="shared" si="26"/>
        <v>27607</v>
      </c>
      <c r="H124" s="167">
        <f t="shared" si="27"/>
        <v>4722.0175610752303</v>
      </c>
      <c r="I124" s="317">
        <f t="shared" si="28"/>
        <v>4722.0175610752303</v>
      </c>
      <c r="J124" s="162">
        <f t="shared" si="18"/>
        <v>0</v>
      </c>
      <c r="K124" s="162"/>
      <c r="L124" s="335"/>
      <c r="M124" s="162">
        <f t="shared" si="19"/>
        <v>0</v>
      </c>
      <c r="N124" s="335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2"/>
        <v/>
      </c>
      <c r="C125" s="157">
        <f>IF(D93="","-",+C124+1)</f>
        <v>2032</v>
      </c>
      <c r="D125" s="158">
        <f>IF(F124+SUM(E$99:E124)=D$92,F124,D$92-SUM(E$99:E124))</f>
        <v>26997</v>
      </c>
      <c r="E125" s="165">
        <f>IF(+J96&lt;F124,J96,D125)</f>
        <v>1220</v>
      </c>
      <c r="F125" s="163">
        <f t="shared" si="25"/>
        <v>25777</v>
      </c>
      <c r="G125" s="163">
        <f t="shared" si="26"/>
        <v>26387</v>
      </c>
      <c r="H125" s="167">
        <f t="shared" si="27"/>
        <v>4567.2574848441382</v>
      </c>
      <c r="I125" s="317">
        <f t="shared" si="28"/>
        <v>4567.2574848441382</v>
      </c>
      <c r="J125" s="162">
        <f t="shared" si="18"/>
        <v>0</v>
      </c>
      <c r="K125" s="162"/>
      <c r="L125" s="335"/>
      <c r="M125" s="162">
        <f t="shared" si="19"/>
        <v>0</v>
      </c>
      <c r="N125" s="335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2"/>
        <v/>
      </c>
      <c r="C126" s="157">
        <f>IF(D93="","-",+C125+1)</f>
        <v>2033</v>
      </c>
      <c r="D126" s="158">
        <f>IF(F125+SUM(E$99:E125)=D$92,F125,D$92-SUM(E$99:E125))</f>
        <v>25777</v>
      </c>
      <c r="E126" s="165">
        <f>IF(+J96&lt;F125,J96,D126)</f>
        <v>1220</v>
      </c>
      <c r="F126" s="163">
        <f t="shared" si="25"/>
        <v>24557</v>
      </c>
      <c r="G126" s="163">
        <f t="shared" si="26"/>
        <v>25167</v>
      </c>
      <c r="H126" s="167">
        <f t="shared" si="27"/>
        <v>4412.4974086130451</v>
      </c>
      <c r="I126" s="317">
        <f t="shared" si="28"/>
        <v>4412.4974086130451</v>
      </c>
      <c r="J126" s="162">
        <f t="shared" si="18"/>
        <v>0</v>
      </c>
      <c r="K126" s="162"/>
      <c r="L126" s="335"/>
      <c r="M126" s="162">
        <f t="shared" si="19"/>
        <v>0</v>
      </c>
      <c r="N126" s="335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2"/>
        <v/>
      </c>
      <c r="C127" s="157">
        <f>IF(D93="","-",+C126+1)</f>
        <v>2034</v>
      </c>
      <c r="D127" s="158">
        <f>IF(F126+SUM(E$99:E126)=D$92,F126,D$92-SUM(E$99:E126))</f>
        <v>24557</v>
      </c>
      <c r="E127" s="165">
        <f>IF(+J96&lt;F126,J96,D127)</f>
        <v>1220</v>
      </c>
      <c r="F127" s="163">
        <f t="shared" si="25"/>
        <v>23337</v>
      </c>
      <c r="G127" s="163">
        <f t="shared" si="26"/>
        <v>23947</v>
      </c>
      <c r="H127" s="167">
        <f t="shared" si="27"/>
        <v>4257.737332381952</v>
      </c>
      <c r="I127" s="317">
        <f t="shared" si="28"/>
        <v>4257.737332381952</v>
      </c>
      <c r="J127" s="162">
        <f t="shared" si="18"/>
        <v>0</v>
      </c>
      <c r="K127" s="162"/>
      <c r="L127" s="335"/>
      <c r="M127" s="162">
        <f t="shared" si="19"/>
        <v>0</v>
      </c>
      <c r="N127" s="335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2"/>
        <v/>
      </c>
      <c r="C128" s="157">
        <f>IF(D93="","-",+C127+1)</f>
        <v>2035</v>
      </c>
      <c r="D128" s="158">
        <f>IF(F127+SUM(E$99:E127)=D$92,F127,D$92-SUM(E$99:E127))</f>
        <v>23337</v>
      </c>
      <c r="E128" s="165">
        <f>IF(+J96&lt;F127,J96,D128)</f>
        <v>1220</v>
      </c>
      <c r="F128" s="163">
        <f t="shared" si="25"/>
        <v>22117</v>
      </c>
      <c r="G128" s="163">
        <f t="shared" si="26"/>
        <v>22727</v>
      </c>
      <c r="H128" s="167">
        <f t="shared" si="27"/>
        <v>4102.9772561508598</v>
      </c>
      <c r="I128" s="317">
        <f t="shared" si="28"/>
        <v>4102.9772561508598</v>
      </c>
      <c r="J128" s="162">
        <f t="shared" si="18"/>
        <v>0</v>
      </c>
      <c r="K128" s="162"/>
      <c r="L128" s="335"/>
      <c r="M128" s="162">
        <f t="shared" si="19"/>
        <v>0</v>
      </c>
      <c r="N128" s="335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2"/>
        <v/>
      </c>
      <c r="C129" s="157">
        <f>IF(D93="","-",+C128+1)</f>
        <v>2036</v>
      </c>
      <c r="D129" s="158">
        <f>IF(F128+SUM(E$99:E128)=D$92,F128,D$92-SUM(E$99:E128))</f>
        <v>22117</v>
      </c>
      <c r="E129" s="165">
        <f>IF(+J96&lt;F128,J96,D129)</f>
        <v>1220</v>
      </c>
      <c r="F129" s="163">
        <f t="shared" si="25"/>
        <v>20897</v>
      </c>
      <c r="G129" s="163">
        <f t="shared" si="26"/>
        <v>21507</v>
      </c>
      <c r="H129" s="167">
        <f t="shared" si="27"/>
        <v>3948.2171799197663</v>
      </c>
      <c r="I129" s="317">
        <f t="shared" si="28"/>
        <v>3948.2171799197663</v>
      </c>
      <c r="J129" s="162">
        <f t="shared" si="18"/>
        <v>0</v>
      </c>
      <c r="K129" s="162"/>
      <c r="L129" s="335"/>
      <c r="M129" s="162">
        <f t="shared" si="19"/>
        <v>0</v>
      </c>
      <c r="N129" s="335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2"/>
        <v/>
      </c>
      <c r="C130" s="157">
        <f>IF(D93="","-",+C129+1)</f>
        <v>2037</v>
      </c>
      <c r="D130" s="158">
        <f>IF(F129+SUM(E$99:E129)=D$92,F129,D$92-SUM(E$99:E129))</f>
        <v>20897</v>
      </c>
      <c r="E130" s="165">
        <f>IF(+J96&lt;F129,J96,D130)</f>
        <v>1220</v>
      </c>
      <c r="F130" s="163">
        <f t="shared" si="25"/>
        <v>19677</v>
      </c>
      <c r="G130" s="163">
        <f t="shared" si="26"/>
        <v>20287</v>
      </c>
      <c r="H130" s="167">
        <f t="shared" si="27"/>
        <v>3793.4571036886737</v>
      </c>
      <c r="I130" s="317">
        <f t="shared" si="28"/>
        <v>3793.4571036886737</v>
      </c>
      <c r="J130" s="162">
        <f t="shared" si="18"/>
        <v>0</v>
      </c>
      <c r="K130" s="162"/>
      <c r="L130" s="335"/>
      <c r="M130" s="162">
        <f t="shared" si="19"/>
        <v>0</v>
      </c>
      <c r="N130" s="335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2"/>
        <v/>
      </c>
      <c r="C131" s="157">
        <f>IF(D93="","-",+C130+1)</f>
        <v>2038</v>
      </c>
      <c r="D131" s="158">
        <f>IF(F130+SUM(E$99:E130)=D$92,F130,D$92-SUM(E$99:E130))</f>
        <v>19677</v>
      </c>
      <c r="E131" s="165">
        <f>IF(+J96&lt;F130,J96,D131)</f>
        <v>1220</v>
      </c>
      <c r="F131" s="163">
        <f t="shared" ref="F131:F154" si="29">+D131-E131</f>
        <v>18457</v>
      </c>
      <c r="G131" s="163">
        <f t="shared" ref="G131:G154" si="30">+(F131+D131)/2</f>
        <v>19067</v>
      </c>
      <c r="H131" s="167">
        <f t="shared" si="27"/>
        <v>3638.6970274575806</v>
      </c>
      <c r="I131" s="317">
        <f t="shared" si="28"/>
        <v>3638.6970274575806</v>
      </c>
      <c r="J131" s="162">
        <f t="shared" ref="J131:J154" si="31">+I131-H131</f>
        <v>0</v>
      </c>
      <c r="K131" s="162"/>
      <c r="L131" s="335"/>
      <c r="M131" s="162">
        <f t="shared" ref="M131:M154" si="32">IF(L131&lt;&gt;0,+H131-L131,0)</f>
        <v>0</v>
      </c>
      <c r="N131" s="335"/>
      <c r="O131" s="162">
        <f t="shared" ref="O131:O154" si="33">IF(N131&lt;&gt;0,+I131-N131,0)</f>
        <v>0</v>
      </c>
      <c r="P131" s="162">
        <f t="shared" ref="P131:P154" si="34">+O131-M131</f>
        <v>0</v>
      </c>
    </row>
    <row r="132" spans="2:16">
      <c r="B132" s="9" t="str">
        <f t="shared" si="22"/>
        <v/>
      </c>
      <c r="C132" s="157">
        <f>IF(D93="","-",+C131+1)</f>
        <v>2039</v>
      </c>
      <c r="D132" s="158">
        <f>IF(F131+SUM(E$99:E131)=D$92,F131,D$92-SUM(E$99:E131))</f>
        <v>18457</v>
      </c>
      <c r="E132" s="165">
        <f>IF(+J96&lt;F131,J96,D132)</f>
        <v>1220</v>
      </c>
      <c r="F132" s="163">
        <f t="shared" si="29"/>
        <v>17237</v>
      </c>
      <c r="G132" s="163">
        <f t="shared" si="30"/>
        <v>17847</v>
      </c>
      <c r="H132" s="167">
        <f t="shared" si="27"/>
        <v>3483.9369512264875</v>
      </c>
      <c r="I132" s="317">
        <f t="shared" si="28"/>
        <v>3483.9369512264875</v>
      </c>
      <c r="J132" s="162">
        <f t="shared" si="31"/>
        <v>0</v>
      </c>
      <c r="K132" s="162"/>
      <c r="L132" s="335"/>
      <c r="M132" s="162">
        <f t="shared" si="32"/>
        <v>0</v>
      </c>
      <c r="N132" s="335"/>
      <c r="O132" s="162">
        <f t="shared" si="33"/>
        <v>0</v>
      </c>
      <c r="P132" s="162">
        <f t="shared" si="34"/>
        <v>0</v>
      </c>
    </row>
    <row r="133" spans="2:16">
      <c r="B133" s="9" t="str">
        <f t="shared" si="22"/>
        <v/>
      </c>
      <c r="C133" s="157">
        <f>IF(D93="","-",+C132+1)</f>
        <v>2040</v>
      </c>
      <c r="D133" s="158">
        <f>IF(F132+SUM(E$99:E132)=D$92,F132,D$92-SUM(E$99:E132))</f>
        <v>17237</v>
      </c>
      <c r="E133" s="165">
        <f>IF(+J96&lt;F132,J96,D133)</f>
        <v>1220</v>
      </c>
      <c r="F133" s="163">
        <f t="shared" si="29"/>
        <v>16017</v>
      </c>
      <c r="G133" s="163">
        <f t="shared" si="30"/>
        <v>16627</v>
      </c>
      <c r="H133" s="167">
        <f t="shared" si="27"/>
        <v>3329.1768749953949</v>
      </c>
      <c r="I133" s="317">
        <f t="shared" si="28"/>
        <v>3329.1768749953949</v>
      </c>
      <c r="J133" s="162">
        <f t="shared" si="31"/>
        <v>0</v>
      </c>
      <c r="K133" s="162"/>
      <c r="L133" s="335"/>
      <c r="M133" s="162">
        <f t="shared" si="32"/>
        <v>0</v>
      </c>
      <c r="N133" s="335"/>
      <c r="O133" s="162">
        <f t="shared" si="33"/>
        <v>0</v>
      </c>
      <c r="P133" s="162">
        <f t="shared" si="34"/>
        <v>0</v>
      </c>
    </row>
    <row r="134" spans="2:16">
      <c r="B134" s="9" t="str">
        <f t="shared" si="22"/>
        <v/>
      </c>
      <c r="C134" s="157">
        <f>IF(D93="","-",+C133+1)</f>
        <v>2041</v>
      </c>
      <c r="D134" s="158">
        <f>IF(F133+SUM(E$99:E133)=D$92,F133,D$92-SUM(E$99:E133))</f>
        <v>16017</v>
      </c>
      <c r="E134" s="165">
        <f>IF(+J96&lt;F133,J96,D134)</f>
        <v>1220</v>
      </c>
      <c r="F134" s="163">
        <f t="shared" si="29"/>
        <v>14797</v>
      </c>
      <c r="G134" s="163">
        <f t="shared" si="30"/>
        <v>15407</v>
      </c>
      <c r="H134" s="167">
        <f t="shared" si="27"/>
        <v>3174.4167987643018</v>
      </c>
      <c r="I134" s="317">
        <f t="shared" si="28"/>
        <v>3174.4167987643018</v>
      </c>
      <c r="J134" s="162">
        <f t="shared" si="31"/>
        <v>0</v>
      </c>
      <c r="K134" s="162"/>
      <c r="L134" s="335"/>
      <c r="M134" s="162">
        <f t="shared" si="32"/>
        <v>0</v>
      </c>
      <c r="N134" s="335"/>
      <c r="O134" s="162">
        <f t="shared" si="33"/>
        <v>0</v>
      </c>
      <c r="P134" s="162">
        <f t="shared" si="34"/>
        <v>0</v>
      </c>
    </row>
    <row r="135" spans="2:16">
      <c r="B135" s="9" t="str">
        <f t="shared" si="22"/>
        <v/>
      </c>
      <c r="C135" s="157">
        <f>IF(D93="","-",+C134+1)</f>
        <v>2042</v>
      </c>
      <c r="D135" s="158">
        <f>IF(F134+SUM(E$99:E134)=D$92,F134,D$92-SUM(E$99:E134))</f>
        <v>14797</v>
      </c>
      <c r="E135" s="165">
        <f>IF(+J96&lt;F134,J96,D135)</f>
        <v>1220</v>
      </c>
      <c r="F135" s="163">
        <f t="shared" si="29"/>
        <v>13577</v>
      </c>
      <c r="G135" s="163">
        <f t="shared" si="30"/>
        <v>14187</v>
      </c>
      <c r="H135" s="167">
        <f t="shared" si="27"/>
        <v>3019.6567225332092</v>
      </c>
      <c r="I135" s="317">
        <f t="shared" si="28"/>
        <v>3019.6567225332092</v>
      </c>
      <c r="J135" s="162">
        <f t="shared" si="31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4"/>
        <v>0</v>
      </c>
    </row>
    <row r="136" spans="2:16">
      <c r="B136" s="9" t="str">
        <f t="shared" si="22"/>
        <v/>
      </c>
      <c r="C136" s="157">
        <f>IF(D93="","-",+C135+1)</f>
        <v>2043</v>
      </c>
      <c r="D136" s="158">
        <f>IF(F135+SUM(E$99:E135)=D$92,F135,D$92-SUM(E$99:E135))</f>
        <v>13577</v>
      </c>
      <c r="E136" s="165">
        <f>IF(+J96&lt;F135,J96,D136)</f>
        <v>1220</v>
      </c>
      <c r="F136" s="163">
        <f t="shared" si="29"/>
        <v>12357</v>
      </c>
      <c r="G136" s="163">
        <f t="shared" si="30"/>
        <v>12967</v>
      </c>
      <c r="H136" s="167">
        <f t="shared" si="27"/>
        <v>2864.8966463021161</v>
      </c>
      <c r="I136" s="317">
        <f t="shared" si="28"/>
        <v>2864.8966463021161</v>
      </c>
      <c r="J136" s="162">
        <f t="shared" si="31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4"/>
        <v>0</v>
      </c>
    </row>
    <row r="137" spans="2:16">
      <c r="B137" s="9" t="str">
        <f t="shared" si="22"/>
        <v/>
      </c>
      <c r="C137" s="157">
        <f>IF(D93="","-",+C136+1)</f>
        <v>2044</v>
      </c>
      <c r="D137" s="158">
        <f>IF(F136+SUM(E$99:E136)=D$92,F136,D$92-SUM(E$99:E136))</f>
        <v>12357</v>
      </c>
      <c r="E137" s="165">
        <f>IF(+J96&lt;F136,J96,D137)</f>
        <v>1220</v>
      </c>
      <c r="F137" s="163">
        <f t="shared" si="29"/>
        <v>11137</v>
      </c>
      <c r="G137" s="163">
        <f t="shared" si="30"/>
        <v>11747</v>
      </c>
      <c r="H137" s="167">
        <f t="shared" si="27"/>
        <v>2710.136570071023</v>
      </c>
      <c r="I137" s="317">
        <f t="shared" si="28"/>
        <v>2710.136570071023</v>
      </c>
      <c r="J137" s="162">
        <f t="shared" si="31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4"/>
        <v>0</v>
      </c>
    </row>
    <row r="138" spans="2:16">
      <c r="B138" s="9" t="str">
        <f t="shared" si="22"/>
        <v/>
      </c>
      <c r="C138" s="157">
        <f>IF(D93="","-",+C137+1)</f>
        <v>2045</v>
      </c>
      <c r="D138" s="158">
        <f>IF(F137+SUM(E$99:E137)=D$92,F137,D$92-SUM(E$99:E137))</f>
        <v>11137</v>
      </c>
      <c r="E138" s="165">
        <f>IF(+J96&lt;F137,J96,D138)</f>
        <v>1220</v>
      </c>
      <c r="F138" s="163">
        <f t="shared" si="29"/>
        <v>9917</v>
      </c>
      <c r="G138" s="163">
        <f t="shared" si="30"/>
        <v>10527</v>
      </c>
      <c r="H138" s="167">
        <f t="shared" si="27"/>
        <v>2555.3764938399304</v>
      </c>
      <c r="I138" s="317">
        <f t="shared" si="28"/>
        <v>2555.3764938399304</v>
      </c>
      <c r="J138" s="162">
        <f t="shared" si="31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4"/>
        <v>0</v>
      </c>
    </row>
    <row r="139" spans="2:16">
      <c r="B139" s="9" t="str">
        <f t="shared" si="22"/>
        <v/>
      </c>
      <c r="C139" s="157">
        <f>IF(D93="","-",+C138+1)</f>
        <v>2046</v>
      </c>
      <c r="D139" s="158">
        <f>IF(F138+SUM(E$99:E138)=D$92,F138,D$92-SUM(E$99:E138))</f>
        <v>9917</v>
      </c>
      <c r="E139" s="165">
        <f>IF(+J96&lt;F138,J96,D139)</f>
        <v>1220</v>
      </c>
      <c r="F139" s="163">
        <f t="shared" si="29"/>
        <v>8697</v>
      </c>
      <c r="G139" s="163">
        <f t="shared" si="30"/>
        <v>9307</v>
      </c>
      <c r="H139" s="167">
        <f t="shared" si="27"/>
        <v>2400.6164176088373</v>
      </c>
      <c r="I139" s="317">
        <f t="shared" si="28"/>
        <v>2400.6164176088373</v>
      </c>
      <c r="J139" s="162">
        <f t="shared" si="31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4"/>
        <v>0</v>
      </c>
    </row>
    <row r="140" spans="2:16">
      <c r="B140" s="9" t="str">
        <f t="shared" si="22"/>
        <v/>
      </c>
      <c r="C140" s="157">
        <f>IF(D93="","-",+C139+1)</f>
        <v>2047</v>
      </c>
      <c r="D140" s="158">
        <f>IF(F139+SUM(E$99:E139)=D$92,F139,D$92-SUM(E$99:E139))</f>
        <v>8697</v>
      </c>
      <c r="E140" s="165">
        <f>IF(+J96&lt;F139,J96,D140)</f>
        <v>1220</v>
      </c>
      <c r="F140" s="163">
        <f t="shared" si="29"/>
        <v>7477</v>
      </c>
      <c r="G140" s="163">
        <f t="shared" si="30"/>
        <v>8087</v>
      </c>
      <c r="H140" s="167">
        <f t="shared" si="27"/>
        <v>2245.8563413777447</v>
      </c>
      <c r="I140" s="317">
        <f t="shared" si="28"/>
        <v>2245.8563413777447</v>
      </c>
      <c r="J140" s="162">
        <f t="shared" si="31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4"/>
        <v>0</v>
      </c>
    </row>
    <row r="141" spans="2:16">
      <c r="B141" s="9" t="str">
        <f t="shared" si="22"/>
        <v/>
      </c>
      <c r="C141" s="157">
        <f>IF(D93="","-",+C140+1)</f>
        <v>2048</v>
      </c>
      <c r="D141" s="158">
        <f>IF(F140+SUM(E$99:E140)=D$92,F140,D$92-SUM(E$99:E140))</f>
        <v>7477</v>
      </c>
      <c r="E141" s="165">
        <f>IF(+J96&lt;F140,J96,D141)</f>
        <v>1220</v>
      </c>
      <c r="F141" s="163">
        <f t="shared" si="29"/>
        <v>6257</v>
      </c>
      <c r="G141" s="163">
        <f t="shared" si="30"/>
        <v>6867</v>
      </c>
      <c r="H141" s="167">
        <f t="shared" si="27"/>
        <v>2091.0962651466516</v>
      </c>
      <c r="I141" s="317">
        <f t="shared" si="28"/>
        <v>2091.0962651466516</v>
      </c>
      <c r="J141" s="162">
        <f t="shared" si="31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4"/>
        <v>0</v>
      </c>
    </row>
    <row r="142" spans="2:16">
      <c r="B142" s="9" t="str">
        <f t="shared" si="22"/>
        <v/>
      </c>
      <c r="C142" s="157">
        <f>IF(D93="","-",+C141+1)</f>
        <v>2049</v>
      </c>
      <c r="D142" s="158">
        <f>IF(F141+SUM(E$99:E141)=D$92,F141,D$92-SUM(E$99:E141))</f>
        <v>6257</v>
      </c>
      <c r="E142" s="165">
        <f>IF(+J96&lt;F141,J96,D142)</f>
        <v>1220</v>
      </c>
      <c r="F142" s="163">
        <f t="shared" si="29"/>
        <v>5037</v>
      </c>
      <c r="G142" s="163">
        <f t="shared" si="30"/>
        <v>5647</v>
      </c>
      <c r="H142" s="167">
        <f t="shared" si="27"/>
        <v>1936.3361889155588</v>
      </c>
      <c r="I142" s="317">
        <f t="shared" si="28"/>
        <v>1936.3361889155588</v>
      </c>
      <c r="J142" s="162">
        <f t="shared" si="31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4"/>
        <v>0</v>
      </c>
    </row>
    <row r="143" spans="2:16">
      <c r="B143" s="9" t="str">
        <f t="shared" si="22"/>
        <v/>
      </c>
      <c r="C143" s="157">
        <f>IF(D93="","-",+C142+1)</f>
        <v>2050</v>
      </c>
      <c r="D143" s="158">
        <f>IF(F142+SUM(E$99:E142)=D$92,F142,D$92-SUM(E$99:E142))</f>
        <v>5037</v>
      </c>
      <c r="E143" s="165">
        <f>IF(+J96&lt;F142,J96,D143)</f>
        <v>1220</v>
      </c>
      <c r="F143" s="163">
        <f t="shared" si="29"/>
        <v>3817</v>
      </c>
      <c r="G143" s="163">
        <f t="shared" si="30"/>
        <v>4427</v>
      </c>
      <c r="H143" s="167">
        <f t="shared" si="27"/>
        <v>1781.5761126844659</v>
      </c>
      <c r="I143" s="317">
        <f t="shared" si="28"/>
        <v>1781.5761126844659</v>
      </c>
      <c r="J143" s="162">
        <f t="shared" si="31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4"/>
        <v>0</v>
      </c>
    </row>
    <row r="144" spans="2:16">
      <c r="B144" s="9" t="str">
        <f t="shared" si="22"/>
        <v/>
      </c>
      <c r="C144" s="157">
        <f>IF(D93="","-",+C143+1)</f>
        <v>2051</v>
      </c>
      <c r="D144" s="158">
        <f>IF(F143+SUM(E$99:E143)=D$92,F143,D$92-SUM(E$99:E143))</f>
        <v>3817</v>
      </c>
      <c r="E144" s="165">
        <f>IF(+J96&lt;F143,J96,D144)</f>
        <v>1220</v>
      </c>
      <c r="F144" s="163">
        <f t="shared" si="29"/>
        <v>2597</v>
      </c>
      <c r="G144" s="163">
        <f t="shared" si="30"/>
        <v>3207</v>
      </c>
      <c r="H144" s="167">
        <f t="shared" si="27"/>
        <v>1626.8160364533728</v>
      </c>
      <c r="I144" s="317">
        <f t="shared" si="28"/>
        <v>1626.8160364533728</v>
      </c>
      <c r="J144" s="162">
        <f t="shared" si="31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4"/>
        <v>0</v>
      </c>
    </row>
    <row r="145" spans="2:16">
      <c r="B145" s="9" t="str">
        <f t="shared" si="22"/>
        <v/>
      </c>
      <c r="C145" s="157">
        <f>IF(D93="","-",+C144+1)</f>
        <v>2052</v>
      </c>
      <c r="D145" s="158">
        <f>IF(F144+SUM(E$99:E144)=D$92,F144,D$92-SUM(E$99:E144))</f>
        <v>2597</v>
      </c>
      <c r="E145" s="165">
        <f>IF(+J96&lt;F144,J96,D145)</f>
        <v>1220</v>
      </c>
      <c r="F145" s="163">
        <f t="shared" si="29"/>
        <v>1377</v>
      </c>
      <c r="G145" s="163">
        <f t="shared" si="30"/>
        <v>1987</v>
      </c>
      <c r="H145" s="167">
        <f t="shared" si="27"/>
        <v>1472.05596022228</v>
      </c>
      <c r="I145" s="317">
        <f t="shared" si="28"/>
        <v>1472.05596022228</v>
      </c>
      <c r="J145" s="162">
        <f t="shared" si="31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4"/>
        <v>0</v>
      </c>
    </row>
    <row r="146" spans="2:16">
      <c r="B146" s="9" t="str">
        <f t="shared" si="22"/>
        <v/>
      </c>
      <c r="C146" s="157">
        <f>IF(D93="","-",+C145+1)</f>
        <v>2053</v>
      </c>
      <c r="D146" s="158">
        <f>IF(F145+SUM(E$99:E145)=D$92,F145,D$92-SUM(E$99:E145))</f>
        <v>1377</v>
      </c>
      <c r="E146" s="165">
        <f>IF(+J96&lt;F145,J96,D146)</f>
        <v>1220</v>
      </c>
      <c r="F146" s="163">
        <f t="shared" si="29"/>
        <v>157</v>
      </c>
      <c r="G146" s="163">
        <f t="shared" si="30"/>
        <v>767</v>
      </c>
      <c r="H146" s="167">
        <f t="shared" si="27"/>
        <v>1317.2958839911871</v>
      </c>
      <c r="I146" s="317">
        <f t="shared" si="28"/>
        <v>1317.2958839911871</v>
      </c>
      <c r="J146" s="162">
        <f t="shared" si="31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4"/>
        <v>0</v>
      </c>
    </row>
    <row r="147" spans="2:16">
      <c r="B147" s="9" t="str">
        <f t="shared" si="22"/>
        <v/>
      </c>
      <c r="C147" s="157">
        <f>IF(D93="","-",+C146+1)</f>
        <v>2054</v>
      </c>
      <c r="D147" s="158">
        <f>IF(F146+SUM(E$99:E146)=D$92,F146,D$92-SUM(E$99:E146))</f>
        <v>157</v>
      </c>
      <c r="E147" s="165">
        <f>IF(+J96&lt;F146,J96,D147)</f>
        <v>157</v>
      </c>
      <c r="F147" s="163">
        <f t="shared" si="29"/>
        <v>0</v>
      </c>
      <c r="G147" s="163">
        <f t="shared" si="30"/>
        <v>78.5</v>
      </c>
      <c r="H147" s="167">
        <f t="shared" si="27"/>
        <v>166.95792293782031</v>
      </c>
      <c r="I147" s="317">
        <f t="shared" si="28"/>
        <v>166.95792293782031</v>
      </c>
      <c r="J147" s="162">
        <f t="shared" si="31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4"/>
        <v>0</v>
      </c>
    </row>
    <row r="148" spans="2:16">
      <c r="B148" s="9" t="str">
        <f t="shared" si="22"/>
        <v/>
      </c>
      <c r="C148" s="157">
        <f>IF(D93="","-",+C147+1)</f>
        <v>2055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9"/>
        <v>0</v>
      </c>
      <c r="G148" s="163">
        <f t="shared" si="30"/>
        <v>0</v>
      </c>
      <c r="H148" s="167">
        <f t="shared" si="27"/>
        <v>0</v>
      </c>
      <c r="I148" s="317">
        <f t="shared" si="28"/>
        <v>0</v>
      </c>
      <c r="J148" s="162">
        <f t="shared" si="31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4"/>
        <v>0</v>
      </c>
    </row>
    <row r="149" spans="2:16">
      <c r="B149" s="9" t="str">
        <f t="shared" si="22"/>
        <v/>
      </c>
      <c r="C149" s="157">
        <f>IF(D93="","-",+C148+1)</f>
        <v>2056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9"/>
        <v>0</v>
      </c>
      <c r="G149" s="163">
        <f t="shared" si="30"/>
        <v>0</v>
      </c>
      <c r="H149" s="167">
        <f t="shared" si="27"/>
        <v>0</v>
      </c>
      <c r="I149" s="317">
        <f t="shared" si="28"/>
        <v>0</v>
      </c>
      <c r="J149" s="162">
        <f t="shared" si="31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4"/>
        <v>0</v>
      </c>
    </row>
    <row r="150" spans="2:16">
      <c r="B150" s="9" t="str">
        <f t="shared" si="22"/>
        <v/>
      </c>
      <c r="C150" s="157">
        <f>IF(D93="","-",+C149+1)</f>
        <v>2057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9"/>
        <v>0</v>
      </c>
      <c r="G150" s="163">
        <f t="shared" si="30"/>
        <v>0</v>
      </c>
      <c r="H150" s="167">
        <f t="shared" si="27"/>
        <v>0</v>
      </c>
      <c r="I150" s="317">
        <f t="shared" si="28"/>
        <v>0</v>
      </c>
      <c r="J150" s="162">
        <f t="shared" si="31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4"/>
        <v>0</v>
      </c>
    </row>
    <row r="151" spans="2:16">
      <c r="B151" s="9" t="str">
        <f t="shared" si="22"/>
        <v/>
      </c>
      <c r="C151" s="157">
        <f>IF(D93="","-",+C150+1)</f>
        <v>2058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9"/>
        <v>0</v>
      </c>
      <c r="G151" s="163">
        <f t="shared" si="30"/>
        <v>0</v>
      </c>
      <c r="H151" s="167">
        <f t="shared" si="27"/>
        <v>0</v>
      </c>
      <c r="I151" s="317">
        <f t="shared" si="28"/>
        <v>0</v>
      </c>
      <c r="J151" s="162">
        <f t="shared" si="31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4"/>
        <v>0</v>
      </c>
    </row>
    <row r="152" spans="2:16">
      <c r="B152" s="9" t="str">
        <f t="shared" si="22"/>
        <v/>
      </c>
      <c r="C152" s="157">
        <f>IF(D93="","-",+C151+1)</f>
        <v>2059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9"/>
        <v>0</v>
      </c>
      <c r="G152" s="163">
        <f t="shared" si="30"/>
        <v>0</v>
      </c>
      <c r="H152" s="167">
        <f t="shared" si="27"/>
        <v>0</v>
      </c>
      <c r="I152" s="317">
        <f t="shared" si="28"/>
        <v>0</v>
      </c>
      <c r="J152" s="162">
        <f t="shared" si="31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4"/>
        <v>0</v>
      </c>
    </row>
    <row r="153" spans="2:16">
      <c r="B153" s="9" t="str">
        <f t="shared" si="22"/>
        <v/>
      </c>
      <c r="C153" s="157">
        <f>IF(D93="","-",+C152+1)</f>
        <v>2060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9"/>
        <v>0</v>
      </c>
      <c r="G153" s="163">
        <f t="shared" si="30"/>
        <v>0</v>
      </c>
      <c r="H153" s="167">
        <f t="shared" si="27"/>
        <v>0</v>
      </c>
      <c r="I153" s="317">
        <f t="shared" si="28"/>
        <v>0</v>
      </c>
      <c r="J153" s="162">
        <f t="shared" si="31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4"/>
        <v>0</v>
      </c>
    </row>
    <row r="154" spans="2:16" ht="13.5" thickBot="1">
      <c r="B154" s="9" t="str">
        <f t="shared" si="22"/>
        <v/>
      </c>
      <c r="C154" s="168">
        <f>IF(D93="","-",+C153+1)</f>
        <v>2061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9"/>
        <v>0</v>
      </c>
      <c r="G154" s="169">
        <f t="shared" si="30"/>
        <v>0</v>
      </c>
      <c r="H154" s="171">
        <f t="shared" si="27"/>
        <v>0</v>
      </c>
      <c r="I154" s="318">
        <f t="shared" si="28"/>
        <v>0</v>
      </c>
      <c r="J154" s="173">
        <f t="shared" si="31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4"/>
        <v>0</v>
      </c>
    </row>
    <row r="155" spans="2:16">
      <c r="C155" s="158" t="s">
        <v>72</v>
      </c>
      <c r="D155" s="115"/>
      <c r="E155" s="115">
        <f>SUM(E99:E154)</f>
        <v>56133</v>
      </c>
      <c r="F155" s="115"/>
      <c r="G155" s="115"/>
      <c r="H155" s="115">
        <f>SUM(H99:H154)</f>
        <v>227286.8225120967</v>
      </c>
      <c r="I155" s="115">
        <f>SUM(I99:I154)</f>
        <v>227286.8225120967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4" priority="1" stopIfTrue="1" operator="equal">
      <formula>$I$10</formula>
    </cfRule>
  </conditionalFormatting>
  <conditionalFormatting sqref="C99:C154">
    <cfRule type="cellIs" dxfId="43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7">
    <tabColor rgb="FFC00000"/>
  </sheetPr>
  <dimension ref="A1:P162"/>
  <sheetViews>
    <sheetView view="pageBreakPreview" zoomScale="75" zoomScaleNormal="10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9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8186.3337573408444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8186.3337573408444</v>
      </c>
      <c r="O6" s="1"/>
      <c r="P6" s="1"/>
    </row>
    <row r="7" spans="1:16" ht="13.5" thickBot="1">
      <c r="C7" s="127" t="s">
        <v>41</v>
      </c>
      <c r="D7" s="343" t="s">
        <v>207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83</v>
      </c>
      <c r="E9" s="428" t="s">
        <v>309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72551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4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1813.7750000000001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2007</v>
      </c>
      <c r="D17" s="366">
        <v>72551</v>
      </c>
      <c r="E17" s="367">
        <v>863.70238095238085</v>
      </c>
      <c r="F17" s="366">
        <v>71687.297619047618</v>
      </c>
      <c r="G17" s="367">
        <v>11207.929543529199</v>
      </c>
      <c r="H17" s="370">
        <v>11207.929543529199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2008</v>
      </c>
      <c r="D18" s="371">
        <v>71687.297619047618</v>
      </c>
      <c r="E18" s="368">
        <v>1295.5535714285713</v>
      </c>
      <c r="F18" s="371">
        <v>70391.744047619053</v>
      </c>
      <c r="G18" s="368">
        <v>11452.836869621469</v>
      </c>
      <c r="H18" s="370">
        <v>11452.836869621469</v>
      </c>
      <c r="I18" s="160">
        <f t="shared" si="0"/>
        <v>0</v>
      </c>
      <c r="J18" s="160"/>
      <c r="K18" s="338">
        <v>0</v>
      </c>
      <c r="L18" s="162">
        <f t="shared" si="1"/>
        <v>0</v>
      </c>
      <c r="M18" s="338">
        <v>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2009</v>
      </c>
      <c r="D19" s="371">
        <v>70391.744047619053</v>
      </c>
      <c r="E19" s="368">
        <v>1295.5535714285713</v>
      </c>
      <c r="F19" s="371">
        <v>69096.190476190488</v>
      </c>
      <c r="G19" s="368">
        <v>11265.893005237553</v>
      </c>
      <c r="H19" s="370">
        <v>11265.893005237553</v>
      </c>
      <c r="I19" s="160">
        <f t="shared" si="0"/>
        <v>0</v>
      </c>
      <c r="J19" s="160"/>
      <c r="K19" s="338">
        <v>0</v>
      </c>
      <c r="L19" s="162">
        <f t="shared" si="1"/>
        <v>0</v>
      </c>
      <c r="M19" s="338">
        <v>0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4">IF(D20=F19,"","IU")</f>
        <v/>
      </c>
      <c r="C20" s="157">
        <f>IF(D11="","-",+C19+1)</f>
        <v>2010</v>
      </c>
      <c r="D20" s="371">
        <v>69096.190476190488</v>
      </c>
      <c r="E20" s="368">
        <v>1295.5535714285713</v>
      </c>
      <c r="F20" s="371">
        <v>67800.636904761923</v>
      </c>
      <c r="G20" s="368">
        <v>11078.949140853634</v>
      </c>
      <c r="H20" s="370">
        <v>11078.949140853634</v>
      </c>
      <c r="I20" s="160">
        <f t="shared" si="0"/>
        <v>0</v>
      </c>
      <c r="J20" s="160"/>
      <c r="K20" s="380">
        <f t="shared" ref="K20:K25" si="5">G20</f>
        <v>11078.949140853634</v>
      </c>
      <c r="L20" s="381">
        <f t="shared" si="1"/>
        <v>0</v>
      </c>
      <c r="M20" s="380">
        <f t="shared" ref="M20:M25" si="6">H20</f>
        <v>11078.949140853634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2011</v>
      </c>
      <c r="D21" s="371">
        <v>67800.636904761923</v>
      </c>
      <c r="E21" s="368">
        <v>1422.5686274509803</v>
      </c>
      <c r="F21" s="371">
        <v>66378.068277310944</v>
      </c>
      <c r="G21" s="368">
        <v>11813.613268851301</v>
      </c>
      <c r="H21" s="370">
        <v>11813.613268851301</v>
      </c>
      <c r="I21" s="160">
        <f t="shared" si="0"/>
        <v>0</v>
      </c>
      <c r="J21" s="160"/>
      <c r="K21" s="338">
        <f t="shared" si="5"/>
        <v>11813.613268851301</v>
      </c>
      <c r="L21" s="272">
        <f t="shared" si="1"/>
        <v>0</v>
      </c>
      <c r="M21" s="338">
        <f t="shared" si="6"/>
        <v>11813.613268851301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2012</v>
      </c>
      <c r="D22" s="371">
        <v>66378.068277310944</v>
      </c>
      <c r="E22" s="368">
        <v>1395.2115384615386</v>
      </c>
      <c r="F22" s="371">
        <v>64982.856738849405</v>
      </c>
      <c r="G22" s="368">
        <v>10441.262785463339</v>
      </c>
      <c r="H22" s="370">
        <v>10441.262785463339</v>
      </c>
      <c r="I22" s="160">
        <f t="shared" si="0"/>
        <v>0</v>
      </c>
      <c r="J22" s="160"/>
      <c r="K22" s="338">
        <f t="shared" si="5"/>
        <v>10441.262785463339</v>
      </c>
      <c r="L22" s="272">
        <f t="shared" si="1"/>
        <v>0</v>
      </c>
      <c r="M22" s="338">
        <f t="shared" si="6"/>
        <v>10441.262785463339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2013</v>
      </c>
      <c r="D23" s="371">
        <v>64982.856738849405</v>
      </c>
      <c r="E23" s="368">
        <v>1395.2115384615386</v>
      </c>
      <c r="F23" s="371">
        <v>63587.645200387866</v>
      </c>
      <c r="G23" s="368">
        <v>10475.957148527981</v>
      </c>
      <c r="H23" s="370">
        <v>10475.957148527981</v>
      </c>
      <c r="I23" s="160">
        <v>0</v>
      </c>
      <c r="J23" s="160"/>
      <c r="K23" s="338">
        <f t="shared" si="5"/>
        <v>10475.957148527981</v>
      </c>
      <c r="L23" s="272">
        <f t="shared" ref="L23:L28" si="7">IF(K23&lt;&gt;0,+G23-K23,0)</f>
        <v>0</v>
      </c>
      <c r="M23" s="338">
        <f t="shared" si="6"/>
        <v>10475.957148527981</v>
      </c>
      <c r="N23" s="162">
        <f t="shared" ref="N23:N28" si="8">IF(M23&lt;&gt;0,+H23-M23,0)</f>
        <v>0</v>
      </c>
      <c r="O23" s="162">
        <f t="shared" ref="O23:O28" si="9">+N23-L23</f>
        <v>0</v>
      </c>
      <c r="P23" s="4"/>
    </row>
    <row r="24" spans="2:16">
      <c r="B24" s="9" t="str">
        <f t="shared" si="4"/>
        <v/>
      </c>
      <c r="C24" s="157">
        <f>IF(D11="","-",+C23+1)</f>
        <v>2014</v>
      </c>
      <c r="D24" s="371">
        <v>63587.645200387866</v>
      </c>
      <c r="E24" s="368">
        <v>1395.2115384615386</v>
      </c>
      <c r="F24" s="371">
        <v>62192.433661926327</v>
      </c>
      <c r="G24" s="368">
        <v>9956.5453160541092</v>
      </c>
      <c r="H24" s="370">
        <v>9956.5453160541092</v>
      </c>
      <c r="I24" s="160">
        <v>0</v>
      </c>
      <c r="J24" s="160"/>
      <c r="K24" s="338">
        <f t="shared" si="5"/>
        <v>9956.5453160541092</v>
      </c>
      <c r="L24" s="272">
        <f t="shared" si="7"/>
        <v>0</v>
      </c>
      <c r="M24" s="338">
        <f t="shared" si="6"/>
        <v>9956.5453160541092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4"/>
        <v/>
      </c>
      <c r="C25" s="157">
        <f>IF(D11="","-",+C24+1)</f>
        <v>2015</v>
      </c>
      <c r="D25" s="371">
        <v>62192.433661926327</v>
      </c>
      <c r="E25" s="368">
        <v>1395.2115384615386</v>
      </c>
      <c r="F25" s="371">
        <v>60797.222123464788</v>
      </c>
      <c r="G25" s="368">
        <v>9777.4252794187214</v>
      </c>
      <c r="H25" s="370">
        <v>9777.4252794187214</v>
      </c>
      <c r="I25" s="160">
        <v>0</v>
      </c>
      <c r="J25" s="160"/>
      <c r="K25" s="338">
        <f t="shared" si="5"/>
        <v>9777.4252794187214</v>
      </c>
      <c r="L25" s="272">
        <f t="shared" si="7"/>
        <v>0</v>
      </c>
      <c r="M25" s="338">
        <f t="shared" si="6"/>
        <v>9777.4252794187214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4"/>
        <v/>
      </c>
      <c r="C26" s="157">
        <f>IF(D11="","-",+C25+1)</f>
        <v>2016</v>
      </c>
      <c r="D26" s="371">
        <v>60797.222123464788</v>
      </c>
      <c r="E26" s="368">
        <v>1395.2115384615386</v>
      </c>
      <c r="F26" s="371">
        <v>59402.010585003249</v>
      </c>
      <c r="G26" s="368">
        <v>9186.357507240491</v>
      </c>
      <c r="H26" s="370">
        <v>9186.357507240491</v>
      </c>
      <c r="I26" s="160">
        <f t="shared" si="0"/>
        <v>0</v>
      </c>
      <c r="J26" s="160"/>
      <c r="K26" s="338">
        <f>G26</f>
        <v>9186.357507240491</v>
      </c>
      <c r="L26" s="272">
        <f t="shared" si="7"/>
        <v>0</v>
      </c>
      <c r="M26" s="338">
        <f>H26</f>
        <v>9186.357507240491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4"/>
        <v/>
      </c>
      <c r="C27" s="157">
        <f>IF(D11="","-",+C26+1)</f>
        <v>2017</v>
      </c>
      <c r="D27" s="371">
        <v>59402.010585003249</v>
      </c>
      <c r="E27" s="368">
        <v>1577.195652173913</v>
      </c>
      <c r="F27" s="371">
        <v>57824.814932829337</v>
      </c>
      <c r="G27" s="368">
        <v>8936.0194583135126</v>
      </c>
      <c r="H27" s="370">
        <v>8936.0194583135126</v>
      </c>
      <c r="I27" s="160">
        <v>0</v>
      </c>
      <c r="J27" s="160"/>
      <c r="K27" s="338">
        <f>G27</f>
        <v>8936.0194583135126</v>
      </c>
      <c r="L27" s="272">
        <f t="shared" si="7"/>
        <v>0</v>
      </c>
      <c r="M27" s="338">
        <f>H27</f>
        <v>8936.0194583135126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4"/>
        <v/>
      </c>
      <c r="C28" s="157">
        <f>IF(D11="","-",+C27+1)</f>
        <v>2018</v>
      </c>
      <c r="D28" s="371">
        <v>57824.814932829337</v>
      </c>
      <c r="E28" s="368">
        <v>1612.2444444444445</v>
      </c>
      <c r="F28" s="371">
        <v>56212.570488384896</v>
      </c>
      <c r="G28" s="368">
        <v>8440.7426840086373</v>
      </c>
      <c r="H28" s="370">
        <v>8440.7426840086373</v>
      </c>
      <c r="I28" s="160">
        <f t="shared" si="0"/>
        <v>0</v>
      </c>
      <c r="J28" s="160"/>
      <c r="K28" s="338">
        <f>G28</f>
        <v>8440.7426840086373</v>
      </c>
      <c r="L28" s="272">
        <f t="shared" si="7"/>
        <v>0</v>
      </c>
      <c r="M28" s="338">
        <f>H28</f>
        <v>8440.7426840086373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4"/>
        <v/>
      </c>
      <c r="C29" s="157">
        <f>IF(D11="","-",+C28+1)</f>
        <v>2019</v>
      </c>
      <c r="D29" s="163">
        <f>IF(F28+SUM(E$17:E28)=D$10,F28,D$10-SUM(E$17:E28))</f>
        <v>56212.570488384896</v>
      </c>
      <c r="E29" s="164">
        <f>IF(+I14&lt;F28,I14,D29)</f>
        <v>1813.7750000000001</v>
      </c>
      <c r="F29" s="163">
        <f t="shared" ref="F29:F48" si="10">+D29-E29</f>
        <v>54398.795488384894</v>
      </c>
      <c r="G29" s="165">
        <f t="shared" ref="G29:G72" si="11">(D29+F29)/2*I$12+E29</f>
        <v>8186.3337573408444</v>
      </c>
      <c r="H29" s="147">
        <f t="shared" ref="H29:H72" si="12">+(D29+F29)/2*I$13+E29</f>
        <v>8186.3337573408444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4"/>
        <v/>
      </c>
      <c r="C30" s="157">
        <f>IF(D11="","-",+C29+1)</f>
        <v>2020</v>
      </c>
      <c r="D30" s="163">
        <f>IF(F29+SUM(E$17:E29)=D$10,F29,D$10-SUM(E$17:E29))</f>
        <v>54398.795488384894</v>
      </c>
      <c r="E30" s="164">
        <f>IF(+I14&lt;F29,I14,D30)</f>
        <v>1813.7750000000001</v>
      </c>
      <c r="F30" s="163">
        <f t="shared" si="10"/>
        <v>52585.020488384893</v>
      </c>
      <c r="G30" s="165">
        <f t="shared" si="11"/>
        <v>7977.3427977224019</v>
      </c>
      <c r="H30" s="147">
        <f t="shared" si="12"/>
        <v>7977.3427977224019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2021</v>
      </c>
      <c r="D31" s="163">
        <f>IF(F30+SUM(E$17:E30)=D$10,F30,D$10-SUM(E$17:E30))</f>
        <v>52585.020488384893</v>
      </c>
      <c r="E31" s="164">
        <f>IF(+I14&lt;F30,I14,D31)</f>
        <v>1813.7750000000001</v>
      </c>
      <c r="F31" s="163">
        <f t="shared" si="10"/>
        <v>50771.245488384891</v>
      </c>
      <c r="G31" s="165">
        <f t="shared" si="11"/>
        <v>7768.3518381039612</v>
      </c>
      <c r="H31" s="147">
        <f t="shared" si="12"/>
        <v>7768.3518381039612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2022</v>
      </c>
      <c r="D32" s="163">
        <f>IF(F31+SUM(E$17:E31)=D$10,F31,D$10-SUM(E$17:E31))</f>
        <v>50771.245488384891</v>
      </c>
      <c r="E32" s="164">
        <f>IF(+I14&lt;F31,I14,D32)</f>
        <v>1813.7750000000001</v>
      </c>
      <c r="F32" s="163">
        <f t="shared" si="10"/>
        <v>48957.47048838489</v>
      </c>
      <c r="G32" s="165">
        <f t="shared" si="11"/>
        <v>7559.3608784855187</v>
      </c>
      <c r="H32" s="147">
        <f t="shared" si="12"/>
        <v>7559.3608784855187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2023</v>
      </c>
      <c r="D33" s="163">
        <f>IF(F32+SUM(E$17:E32)=D$10,F32,D$10-SUM(E$17:E32))</f>
        <v>48957.47048838489</v>
      </c>
      <c r="E33" s="164">
        <f>IF(+I14&lt;F32,I14,D33)</f>
        <v>1813.7750000000001</v>
      </c>
      <c r="F33" s="163">
        <f t="shared" si="10"/>
        <v>47143.695488384888</v>
      </c>
      <c r="G33" s="165">
        <f t="shared" si="11"/>
        <v>7350.3699188670762</v>
      </c>
      <c r="H33" s="147">
        <f t="shared" si="12"/>
        <v>7350.3699188670762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2024</v>
      </c>
      <c r="D34" s="163">
        <f>IF(F33+SUM(E$17:E33)=D$10,F33,D$10-SUM(E$17:E33))</f>
        <v>47143.695488384888</v>
      </c>
      <c r="E34" s="164">
        <f>IF(+I14&lt;F33,I14,D34)</f>
        <v>1813.7750000000001</v>
      </c>
      <c r="F34" s="163">
        <f t="shared" si="10"/>
        <v>45329.920488384887</v>
      </c>
      <c r="G34" s="165">
        <f t="shared" si="11"/>
        <v>7141.3789592486337</v>
      </c>
      <c r="H34" s="147">
        <f t="shared" si="12"/>
        <v>7141.3789592486337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2025</v>
      </c>
      <c r="D35" s="163">
        <f>IF(F34+SUM(E$17:E34)=D$10,F34,D$10-SUM(E$17:E34))</f>
        <v>45329.920488384887</v>
      </c>
      <c r="E35" s="164">
        <f>IF(+I14&lt;F34,I14,D35)</f>
        <v>1813.7750000000001</v>
      </c>
      <c r="F35" s="163">
        <f t="shared" si="10"/>
        <v>43516.145488384886</v>
      </c>
      <c r="G35" s="165">
        <f t="shared" si="11"/>
        <v>6932.387999630193</v>
      </c>
      <c r="H35" s="147">
        <f t="shared" si="12"/>
        <v>6932.387999630193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2026</v>
      </c>
      <c r="D36" s="163">
        <f>IF(F35+SUM(E$17:E35)=D$10,F35,D$10-SUM(E$17:E35))</f>
        <v>43516.145488384886</v>
      </c>
      <c r="E36" s="164">
        <f>IF(+I14&lt;F35,I14,D36)</f>
        <v>1813.7750000000001</v>
      </c>
      <c r="F36" s="163">
        <f t="shared" si="10"/>
        <v>41702.370488384884</v>
      </c>
      <c r="G36" s="165">
        <f t="shared" si="11"/>
        <v>6723.3970400117505</v>
      </c>
      <c r="H36" s="147">
        <f t="shared" si="12"/>
        <v>6723.3970400117505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2027</v>
      </c>
      <c r="D37" s="163">
        <f>IF(F36+SUM(E$17:E36)=D$10,F36,D$10-SUM(E$17:E36))</f>
        <v>41702.370488384884</v>
      </c>
      <c r="E37" s="164">
        <f>IF(+I14&lt;F36,I14,D37)</f>
        <v>1813.7750000000001</v>
      </c>
      <c r="F37" s="163">
        <f t="shared" si="10"/>
        <v>39888.595488384883</v>
      </c>
      <c r="G37" s="165">
        <f t="shared" si="11"/>
        <v>6514.4060803933098</v>
      </c>
      <c r="H37" s="147">
        <f t="shared" si="12"/>
        <v>6514.4060803933098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4"/>
        <v/>
      </c>
      <c r="C38" s="157">
        <f>IF(D11="","-",+C37+1)</f>
        <v>2028</v>
      </c>
      <c r="D38" s="163">
        <f>IF(F37+SUM(E$17:E37)=D$10,F37,D$10-SUM(E$17:E37))</f>
        <v>39888.595488384883</v>
      </c>
      <c r="E38" s="164">
        <f>IF(+I14&lt;F37,I14,D38)</f>
        <v>1813.7750000000001</v>
      </c>
      <c r="F38" s="163">
        <f t="shared" si="10"/>
        <v>38074.820488384881</v>
      </c>
      <c r="G38" s="165">
        <f t="shared" si="11"/>
        <v>6305.4151207748655</v>
      </c>
      <c r="H38" s="147">
        <f t="shared" si="12"/>
        <v>6305.4151207748655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2029</v>
      </c>
      <c r="D39" s="163">
        <f>IF(F38+SUM(E$17:E38)=D$10,F38,D$10-SUM(E$17:E38))</f>
        <v>38074.820488384881</v>
      </c>
      <c r="E39" s="164">
        <f>IF(+I14&lt;F38,I14,D39)</f>
        <v>1813.7750000000001</v>
      </c>
      <c r="F39" s="163">
        <f t="shared" si="10"/>
        <v>36261.04548838488</v>
      </c>
      <c r="G39" s="165">
        <f t="shared" si="11"/>
        <v>6096.4241611564248</v>
      </c>
      <c r="H39" s="147">
        <f t="shared" si="12"/>
        <v>6096.4241611564248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2030</v>
      </c>
      <c r="D40" s="163">
        <f>IF(F39+SUM(E$17:E39)=D$10,F39,D$10-SUM(E$17:E39))</f>
        <v>36261.04548838488</v>
      </c>
      <c r="E40" s="164">
        <f>IF(+I14&lt;F39,I14,D40)</f>
        <v>1813.7750000000001</v>
      </c>
      <c r="F40" s="163">
        <f t="shared" si="10"/>
        <v>34447.270488384878</v>
      </c>
      <c r="G40" s="165">
        <f t="shared" si="11"/>
        <v>5887.4332015379823</v>
      </c>
      <c r="H40" s="147">
        <f t="shared" si="12"/>
        <v>5887.4332015379823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2031</v>
      </c>
      <c r="D41" s="163">
        <f>IF(F40+SUM(E$17:E40)=D$10,F40,D$10-SUM(E$17:E40))</f>
        <v>34447.270488384878</v>
      </c>
      <c r="E41" s="164">
        <f>IF(+I14&lt;F40,I14,D41)</f>
        <v>1813.7750000000001</v>
      </c>
      <c r="F41" s="163">
        <f t="shared" si="10"/>
        <v>32633.495488384877</v>
      </c>
      <c r="G41" s="165">
        <f t="shared" si="11"/>
        <v>5678.4422419195416</v>
      </c>
      <c r="H41" s="147">
        <f t="shared" si="12"/>
        <v>5678.4422419195416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2032</v>
      </c>
      <c r="D42" s="163">
        <f>IF(F41+SUM(E$17:E41)=D$10,F41,D$10-SUM(E$17:E41))</f>
        <v>32633.495488384877</v>
      </c>
      <c r="E42" s="164">
        <f>IF(+I14&lt;F41,I14,D42)</f>
        <v>1813.7750000000001</v>
      </c>
      <c r="F42" s="163">
        <f t="shared" si="10"/>
        <v>30819.720488384875</v>
      </c>
      <c r="G42" s="165">
        <f t="shared" si="11"/>
        <v>5469.4512823010991</v>
      </c>
      <c r="H42" s="147">
        <f t="shared" si="12"/>
        <v>5469.4512823010991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2033</v>
      </c>
      <c r="D43" s="163">
        <f>IF(F42+SUM(E$17:E42)=D$10,F42,D$10-SUM(E$17:E42))</f>
        <v>30819.720488384875</v>
      </c>
      <c r="E43" s="164">
        <f>IF(+I14&lt;F42,I14,D43)</f>
        <v>1813.7750000000001</v>
      </c>
      <c r="F43" s="163">
        <f t="shared" si="10"/>
        <v>29005.945488384874</v>
      </c>
      <c r="G43" s="165">
        <f t="shared" si="11"/>
        <v>5260.4603226826566</v>
      </c>
      <c r="H43" s="147">
        <f t="shared" si="12"/>
        <v>5260.4603226826566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2034</v>
      </c>
      <c r="D44" s="163">
        <f>IF(F43+SUM(E$17:E43)=D$10,F43,D$10-SUM(E$17:E43))</f>
        <v>29005.945488384874</v>
      </c>
      <c r="E44" s="164">
        <f>IF(+I14&lt;F43,I14,D44)</f>
        <v>1813.7750000000001</v>
      </c>
      <c r="F44" s="163">
        <f t="shared" si="10"/>
        <v>27192.170488384872</v>
      </c>
      <c r="G44" s="165">
        <f t="shared" si="11"/>
        <v>5051.469363064215</v>
      </c>
      <c r="H44" s="147">
        <f t="shared" si="12"/>
        <v>5051.469363064215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2035</v>
      </c>
      <c r="D45" s="163">
        <f>IF(F44+SUM(E$17:E44)=D$10,F44,D$10-SUM(E$17:E44))</f>
        <v>27192.170488384872</v>
      </c>
      <c r="E45" s="164">
        <f>IF(+I14&lt;F44,I14,D45)</f>
        <v>1813.7750000000001</v>
      </c>
      <c r="F45" s="163">
        <f t="shared" si="10"/>
        <v>25378.395488384871</v>
      </c>
      <c r="G45" s="165">
        <f t="shared" si="11"/>
        <v>4842.4784034457734</v>
      </c>
      <c r="H45" s="147">
        <f t="shared" si="12"/>
        <v>4842.4784034457734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2036</v>
      </c>
      <c r="D46" s="163">
        <f>IF(F45+SUM(E$17:E45)=D$10,F45,D$10-SUM(E$17:E45))</f>
        <v>25378.395488384871</v>
      </c>
      <c r="E46" s="164">
        <f>IF(+I14&lt;F45,I14,D46)</f>
        <v>1813.7750000000001</v>
      </c>
      <c r="F46" s="163">
        <f t="shared" si="10"/>
        <v>23564.62048838487</v>
      </c>
      <c r="G46" s="165">
        <f t="shared" si="11"/>
        <v>4633.4874438273309</v>
      </c>
      <c r="H46" s="147">
        <f t="shared" si="12"/>
        <v>4633.4874438273309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2037</v>
      </c>
      <c r="D47" s="163">
        <f>IF(F46+SUM(E$17:E46)=D$10,F46,D$10-SUM(E$17:E46))</f>
        <v>23564.62048838487</v>
      </c>
      <c r="E47" s="164">
        <f>IF(+I14&lt;F46,I14,D47)</f>
        <v>1813.7750000000001</v>
      </c>
      <c r="F47" s="163">
        <f t="shared" si="10"/>
        <v>21750.845488384868</v>
      </c>
      <c r="G47" s="165">
        <f t="shared" si="11"/>
        <v>4424.4964842088893</v>
      </c>
      <c r="H47" s="147">
        <f t="shared" si="12"/>
        <v>4424.4964842088893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2038</v>
      </c>
      <c r="D48" s="163">
        <f>IF(F47+SUM(E$17:E47)=D$10,F47,D$10-SUM(E$17:E47))</f>
        <v>21750.845488384868</v>
      </c>
      <c r="E48" s="164">
        <f>IF(+I14&lt;F47,I14,D48)</f>
        <v>1813.7750000000001</v>
      </c>
      <c r="F48" s="163">
        <f t="shared" si="10"/>
        <v>19937.070488384867</v>
      </c>
      <c r="G48" s="165">
        <f t="shared" si="11"/>
        <v>4215.5055245904477</v>
      </c>
      <c r="H48" s="147">
        <f t="shared" si="12"/>
        <v>4215.5055245904477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2039</v>
      </c>
      <c r="D49" s="163">
        <f>IF(F48+SUM(E$17:E48)=D$10,F48,D$10-SUM(E$17:E48))</f>
        <v>19937.070488384867</v>
      </c>
      <c r="E49" s="164">
        <f>IF(+I14&lt;F48,I14,D49)</f>
        <v>1813.7750000000001</v>
      </c>
      <c r="F49" s="163">
        <f t="shared" ref="F49:F72" si="13">+D49-E49</f>
        <v>18123.295488384865</v>
      </c>
      <c r="G49" s="165">
        <f t="shared" si="11"/>
        <v>4006.5145649720052</v>
      </c>
      <c r="H49" s="147">
        <f t="shared" si="12"/>
        <v>4006.5145649720052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4"/>
        <v/>
      </c>
      <c r="C50" s="157">
        <f>IF(D11="","-",+C49+1)</f>
        <v>2040</v>
      </c>
      <c r="D50" s="163">
        <f>IF(F49+SUM(E$17:E49)=D$10,F49,D$10-SUM(E$17:E49))</f>
        <v>18123.295488384865</v>
      </c>
      <c r="E50" s="164">
        <f>IF(+I14&lt;F49,I14,D50)</f>
        <v>1813.7750000000001</v>
      </c>
      <c r="F50" s="163">
        <f t="shared" si="13"/>
        <v>16309.520488384866</v>
      </c>
      <c r="G50" s="165">
        <f t="shared" si="11"/>
        <v>3797.5236053535637</v>
      </c>
      <c r="H50" s="147">
        <f t="shared" si="12"/>
        <v>3797.5236053535637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4"/>
        <v/>
      </c>
      <c r="C51" s="157">
        <f>IF(D11="","-",+C50+1)</f>
        <v>2041</v>
      </c>
      <c r="D51" s="163">
        <f>IF(F50+SUM(E$17:E50)=D$10,F50,D$10-SUM(E$17:E50))</f>
        <v>16309.520488384866</v>
      </c>
      <c r="E51" s="164">
        <f>IF(+I14&lt;F50,I14,D51)</f>
        <v>1813.7750000000001</v>
      </c>
      <c r="F51" s="163">
        <f t="shared" si="13"/>
        <v>14495.745488384866</v>
      </c>
      <c r="G51" s="165">
        <f t="shared" si="11"/>
        <v>3588.5326457351221</v>
      </c>
      <c r="H51" s="147">
        <f t="shared" si="12"/>
        <v>3588.5326457351221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4"/>
        <v/>
      </c>
      <c r="C52" s="157">
        <f>IF(D11="","-",+C51+1)</f>
        <v>2042</v>
      </c>
      <c r="D52" s="163">
        <f>IF(F51+SUM(E$17:E51)=D$10,F51,D$10-SUM(E$17:E51))</f>
        <v>14495.745488384866</v>
      </c>
      <c r="E52" s="164">
        <f>IF(+I14&lt;F51,I14,D52)</f>
        <v>1813.7750000000001</v>
      </c>
      <c r="F52" s="163">
        <f t="shared" si="13"/>
        <v>12681.970488384866</v>
      </c>
      <c r="G52" s="165">
        <f t="shared" si="11"/>
        <v>3379.54168611668</v>
      </c>
      <c r="H52" s="147">
        <f t="shared" si="12"/>
        <v>3379.54168611668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4"/>
        <v/>
      </c>
      <c r="C53" s="157">
        <f>IF(D11="","-",+C52+1)</f>
        <v>2043</v>
      </c>
      <c r="D53" s="163">
        <f>IF(F52+SUM(E$17:E52)=D$10,F52,D$10-SUM(E$17:E52))</f>
        <v>12681.970488384866</v>
      </c>
      <c r="E53" s="164">
        <f>IF(+I14&lt;F52,I14,D53)</f>
        <v>1813.7750000000001</v>
      </c>
      <c r="F53" s="163">
        <f t="shared" si="13"/>
        <v>10868.195488384867</v>
      </c>
      <c r="G53" s="165">
        <f t="shared" si="11"/>
        <v>3170.5507264982384</v>
      </c>
      <c r="H53" s="147">
        <f t="shared" si="12"/>
        <v>3170.5507264982384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4"/>
        <v/>
      </c>
      <c r="C54" s="157">
        <f>IF(D11="","-",+C53+1)</f>
        <v>2044</v>
      </c>
      <c r="D54" s="163">
        <f>IF(F53+SUM(E$17:E53)=D$10,F53,D$10-SUM(E$17:E53))</f>
        <v>10868.195488384867</v>
      </c>
      <c r="E54" s="164">
        <f>IF(+I14&lt;F53,I14,D54)</f>
        <v>1813.7750000000001</v>
      </c>
      <c r="F54" s="163">
        <f t="shared" si="13"/>
        <v>9054.420488384867</v>
      </c>
      <c r="G54" s="165">
        <f t="shared" si="11"/>
        <v>2961.5597668797964</v>
      </c>
      <c r="H54" s="147">
        <f t="shared" si="12"/>
        <v>2961.5597668797964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4"/>
        <v/>
      </c>
      <c r="C55" s="157">
        <f>IF(D11="","-",+C54+1)</f>
        <v>2045</v>
      </c>
      <c r="D55" s="163">
        <f>IF(F54+SUM(E$17:E54)=D$10,F54,D$10-SUM(E$17:E54))</f>
        <v>9054.420488384867</v>
      </c>
      <c r="E55" s="164">
        <f>IF(+I14&lt;F54,I14,D55)</f>
        <v>1813.7750000000001</v>
      </c>
      <c r="F55" s="163">
        <f t="shared" si="13"/>
        <v>7240.6454883848673</v>
      </c>
      <c r="G55" s="165">
        <f t="shared" si="11"/>
        <v>2752.5688072613548</v>
      </c>
      <c r="H55" s="147">
        <f t="shared" si="12"/>
        <v>2752.5688072613548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4"/>
        <v/>
      </c>
      <c r="C56" s="157">
        <f>IF(D11="","-",+C55+1)</f>
        <v>2046</v>
      </c>
      <c r="D56" s="163">
        <f>IF(F55+SUM(E$17:E55)=D$10,F55,D$10-SUM(E$17:E55))</f>
        <v>7240.6454883848673</v>
      </c>
      <c r="E56" s="164">
        <f>IF(+I14&lt;F55,I14,D56)</f>
        <v>1813.7750000000001</v>
      </c>
      <c r="F56" s="163">
        <f t="shared" si="13"/>
        <v>5426.8704883848677</v>
      </c>
      <c r="G56" s="165">
        <f t="shared" si="11"/>
        <v>2543.5778476429132</v>
      </c>
      <c r="H56" s="147">
        <f t="shared" si="12"/>
        <v>2543.5778476429132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4"/>
        <v/>
      </c>
      <c r="C57" s="157">
        <f>IF(D11="","-",+C56+1)</f>
        <v>2047</v>
      </c>
      <c r="D57" s="163">
        <f>IF(F56+SUM(E$17:E56)=D$10,F56,D$10-SUM(E$17:E56))</f>
        <v>5426.8704883848677</v>
      </c>
      <c r="E57" s="164">
        <f>IF(+I14&lt;F56,I14,D57)</f>
        <v>1813.7750000000001</v>
      </c>
      <c r="F57" s="163">
        <f t="shared" si="13"/>
        <v>3613.0954883848676</v>
      </c>
      <c r="G57" s="165">
        <f t="shared" si="11"/>
        <v>2334.5868880244716</v>
      </c>
      <c r="H57" s="147">
        <f t="shared" si="12"/>
        <v>2334.5868880244716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4"/>
        <v/>
      </c>
      <c r="C58" s="157">
        <f>IF(D11="","-",+C57+1)</f>
        <v>2048</v>
      </c>
      <c r="D58" s="163">
        <f>IF(F57+SUM(E$17:E57)=D$10,F57,D$10-SUM(E$17:E57))</f>
        <v>3613.0954883848676</v>
      </c>
      <c r="E58" s="164">
        <f>IF(+I14&lt;F57,I14,D58)</f>
        <v>1813.7750000000001</v>
      </c>
      <c r="F58" s="163">
        <f t="shared" si="13"/>
        <v>1799.3204883848675</v>
      </c>
      <c r="G58" s="165">
        <f t="shared" si="11"/>
        <v>2125.5959284060295</v>
      </c>
      <c r="H58" s="147">
        <f t="shared" si="12"/>
        <v>2125.5959284060295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4"/>
        <v/>
      </c>
      <c r="C59" s="157">
        <f>IF(D11="","-",+C58+1)</f>
        <v>2049</v>
      </c>
      <c r="D59" s="163">
        <f>IF(F58+SUM(E$17:E58)=D$10,F58,D$10-SUM(E$17:E58))</f>
        <v>1799.3204883848675</v>
      </c>
      <c r="E59" s="164">
        <f>IF(+I14&lt;F58,I14,D59)</f>
        <v>1799.3204883848675</v>
      </c>
      <c r="F59" s="163">
        <f t="shared" si="13"/>
        <v>0</v>
      </c>
      <c r="G59" s="165">
        <f t="shared" si="11"/>
        <v>1902.9832126832719</v>
      </c>
      <c r="H59" s="147">
        <f t="shared" si="12"/>
        <v>1902.9832126832719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4"/>
        <v/>
      </c>
      <c r="C60" s="157">
        <f>IF(D11="","-",+C59+1)</f>
        <v>2050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3"/>
        <v>0</v>
      </c>
      <c r="G60" s="165">
        <f t="shared" si="11"/>
        <v>0</v>
      </c>
      <c r="H60" s="147">
        <f t="shared" si="12"/>
        <v>0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4"/>
        <v/>
      </c>
      <c r="C61" s="157">
        <f>IF(D11="","-",+C60+1)</f>
        <v>2051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4"/>
        <v/>
      </c>
      <c r="C62" s="157">
        <f>IF(D11="","-",+C61+1)</f>
        <v>2052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4"/>
        <v/>
      </c>
      <c r="C63" s="157">
        <f>IF(D11="","-",+C62+1)</f>
        <v>2053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4"/>
        <v/>
      </c>
      <c r="C64" s="157">
        <f>IF(D11="","-",+C63+1)</f>
        <v>2054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4"/>
        <v/>
      </c>
      <c r="C65" s="157">
        <f>IF(D11="","-",+C64+1)</f>
        <v>2055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4"/>
        <v/>
      </c>
      <c r="C66" s="157">
        <f>IF(D11="","-",+C65+1)</f>
        <v>2056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4"/>
        <v/>
      </c>
      <c r="C67" s="157">
        <f>IF(D11="","-",+C66+1)</f>
        <v>2057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4"/>
        <v/>
      </c>
      <c r="C68" s="157">
        <f>IF(D11="","-",+C67+1)</f>
        <v>2058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4"/>
        <v/>
      </c>
      <c r="C69" s="157">
        <f>IF(D11="","-",+C68+1)</f>
        <v>2059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4"/>
        <v/>
      </c>
      <c r="C70" s="157">
        <f>IF(D11="","-",+C69+1)</f>
        <v>2060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4"/>
        <v/>
      </c>
      <c r="C71" s="157">
        <f>IF(D11="","-",+C70+1)</f>
        <v>2061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2062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72551.000000000015</v>
      </c>
      <c r="F73" s="115"/>
      <c r="G73" s="115">
        <f>SUM(G17:G72)</f>
        <v>280615.46050600638</v>
      </c>
      <c r="H73" s="115">
        <f>SUM(H17:H72)</f>
        <v>280615.46050600638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9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8936.0194583135126</v>
      </c>
      <c r="N87" s="202">
        <f>IF(J92&lt;D11,0,VLOOKUP(J92,C17:O72,11))</f>
        <v>8936.0194583135126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9076.8382024367129</v>
      </c>
      <c r="N88" s="204">
        <f>IF(J92&lt;D11,0,VLOOKUP(J92,C99:P154,7))</f>
        <v>9076.8382024367129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Tulsa Southeast Upgrade (repl switches)*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140.8187441232003</v>
      </c>
      <c r="N89" s="207">
        <f>+N88-N87</f>
        <v>140.8187441232003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TP2004033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72551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4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1577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2007</v>
      </c>
      <c r="D99" s="366">
        <v>0</v>
      </c>
      <c r="E99" s="368">
        <v>0</v>
      </c>
      <c r="F99" s="371">
        <v>72551</v>
      </c>
      <c r="G99" s="373">
        <v>36276</v>
      </c>
      <c r="H99" s="374">
        <v>5762</v>
      </c>
      <c r="I99" s="375">
        <v>5762</v>
      </c>
      <c r="J99" s="162">
        <f t="shared" ref="J99:J130" si="18">+I99-H99</f>
        <v>0</v>
      </c>
      <c r="K99" s="162"/>
      <c r="L99" s="337">
        <v>0</v>
      </c>
      <c r="M99" s="161">
        <f t="shared" ref="M99:M130" si="19">IF(L99&lt;&gt;0,+H99-L99,0)</f>
        <v>0</v>
      </c>
      <c r="N99" s="337">
        <v>0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/>
      </c>
      <c r="C100" s="157">
        <f>IF(D93="","-",+C99+1)</f>
        <v>2008</v>
      </c>
      <c r="D100" s="366">
        <v>72551</v>
      </c>
      <c r="E100" s="372">
        <v>1369</v>
      </c>
      <c r="F100" s="371">
        <v>71182</v>
      </c>
      <c r="G100" s="371">
        <v>71867</v>
      </c>
      <c r="H100" s="368">
        <v>12785</v>
      </c>
      <c r="I100" s="370">
        <v>12785</v>
      </c>
      <c r="J100" s="162">
        <f t="shared" si="18"/>
        <v>0</v>
      </c>
      <c r="K100" s="162"/>
      <c r="L100" s="338">
        <v>12785</v>
      </c>
      <c r="M100" s="162">
        <f t="shared" si="19"/>
        <v>0</v>
      </c>
      <c r="N100" s="338">
        <v>12785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2">IF(D101=F100,"","IU")</f>
        <v/>
      </c>
      <c r="C101" s="157">
        <f>IF(D93="","-",+C100+1)</f>
        <v>2009</v>
      </c>
      <c r="D101" s="366">
        <v>71182</v>
      </c>
      <c r="E101" s="368">
        <v>1296</v>
      </c>
      <c r="F101" s="371">
        <v>69886</v>
      </c>
      <c r="G101" s="371">
        <v>70534</v>
      </c>
      <c r="H101" s="368">
        <v>11608.65494705257</v>
      </c>
      <c r="I101" s="370">
        <v>11608.65494705257</v>
      </c>
      <c r="J101" s="162">
        <f t="shared" si="18"/>
        <v>0</v>
      </c>
      <c r="K101" s="162"/>
      <c r="L101" s="380">
        <f t="shared" ref="L101:L106" si="23">H101</f>
        <v>11608.65494705257</v>
      </c>
      <c r="M101" s="381">
        <f t="shared" si="19"/>
        <v>0</v>
      </c>
      <c r="N101" s="380">
        <f t="shared" ref="N101:N106" si="24">I101</f>
        <v>11608.65494705257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2"/>
        <v/>
      </c>
      <c r="C102" s="157">
        <f>IF(D93="","-",+C101+1)</f>
        <v>2010</v>
      </c>
      <c r="D102" s="366">
        <v>69886</v>
      </c>
      <c r="E102" s="368">
        <v>1423</v>
      </c>
      <c r="F102" s="371">
        <v>68463</v>
      </c>
      <c r="G102" s="371">
        <v>69174.5</v>
      </c>
      <c r="H102" s="368">
        <v>12547.312556925655</v>
      </c>
      <c r="I102" s="370">
        <v>12547.312556925655</v>
      </c>
      <c r="J102" s="162">
        <f t="shared" si="18"/>
        <v>0</v>
      </c>
      <c r="K102" s="162"/>
      <c r="L102" s="380">
        <f t="shared" si="23"/>
        <v>12547.312556925655</v>
      </c>
      <c r="M102" s="381">
        <f t="shared" si="19"/>
        <v>0</v>
      </c>
      <c r="N102" s="380">
        <f t="shared" si="24"/>
        <v>12547.312556925655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2"/>
        <v/>
      </c>
      <c r="C103" s="157">
        <f>IF(D93="","-",+C102+1)</f>
        <v>2011</v>
      </c>
      <c r="D103" s="366">
        <v>68463</v>
      </c>
      <c r="E103" s="368">
        <v>1395</v>
      </c>
      <c r="F103" s="371">
        <v>67068</v>
      </c>
      <c r="G103" s="371">
        <v>67765.5</v>
      </c>
      <c r="H103" s="368">
        <v>10869.52752826227</v>
      </c>
      <c r="I103" s="370">
        <v>10869.52752826227</v>
      </c>
      <c r="J103" s="162">
        <f t="shared" si="18"/>
        <v>0</v>
      </c>
      <c r="K103" s="162"/>
      <c r="L103" s="380">
        <f t="shared" si="23"/>
        <v>10869.52752826227</v>
      </c>
      <c r="M103" s="381">
        <f t="shared" si="19"/>
        <v>0</v>
      </c>
      <c r="N103" s="380">
        <f t="shared" si="24"/>
        <v>10869.52752826227</v>
      </c>
      <c r="O103" s="162">
        <f t="shared" si="20"/>
        <v>0</v>
      </c>
      <c r="P103" s="162">
        <f t="shared" si="21"/>
        <v>0</v>
      </c>
    </row>
    <row r="104" spans="1:16">
      <c r="B104" s="9" t="str">
        <f t="shared" si="22"/>
        <v/>
      </c>
      <c r="C104" s="157">
        <f>IF(D93="","-",+C103+1)</f>
        <v>2012</v>
      </c>
      <c r="D104" s="366">
        <v>67068</v>
      </c>
      <c r="E104" s="368">
        <v>1395</v>
      </c>
      <c r="F104" s="371">
        <v>65673</v>
      </c>
      <c r="G104" s="371">
        <v>66370.5</v>
      </c>
      <c r="H104" s="368">
        <v>10942.760254640152</v>
      </c>
      <c r="I104" s="370">
        <v>10942.760254640152</v>
      </c>
      <c r="J104" s="162">
        <v>0</v>
      </c>
      <c r="K104" s="162"/>
      <c r="L104" s="380">
        <f t="shared" si="23"/>
        <v>10942.760254640152</v>
      </c>
      <c r="M104" s="381">
        <f>IF(L104&lt;&gt;0,+H104-L104,0)</f>
        <v>0</v>
      </c>
      <c r="N104" s="380">
        <f t="shared" si="24"/>
        <v>10942.760254640152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2"/>
        <v/>
      </c>
      <c r="C105" s="157">
        <f>IF(D93="","-",+C104+1)</f>
        <v>2013</v>
      </c>
      <c r="D105" s="366">
        <v>65673</v>
      </c>
      <c r="E105" s="368">
        <v>1395</v>
      </c>
      <c r="F105" s="371">
        <v>64278</v>
      </c>
      <c r="G105" s="371">
        <v>64975.5</v>
      </c>
      <c r="H105" s="368">
        <v>10747.547086020993</v>
      </c>
      <c r="I105" s="370">
        <v>10747.547086020993</v>
      </c>
      <c r="J105" s="162">
        <v>0</v>
      </c>
      <c r="K105" s="162"/>
      <c r="L105" s="380">
        <f t="shared" si="23"/>
        <v>10747.547086020993</v>
      </c>
      <c r="M105" s="381">
        <f>IF(L105&lt;&gt;0,+H105-L105,0)</f>
        <v>0</v>
      </c>
      <c r="N105" s="380">
        <f t="shared" si="24"/>
        <v>10747.547086020993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2"/>
        <v/>
      </c>
      <c r="C106" s="157">
        <f>IF(D93="","-",+C105+1)</f>
        <v>2014</v>
      </c>
      <c r="D106" s="366">
        <v>64278</v>
      </c>
      <c r="E106" s="368">
        <v>1395</v>
      </c>
      <c r="F106" s="371">
        <v>62883</v>
      </c>
      <c r="G106" s="371">
        <v>63580.5</v>
      </c>
      <c r="H106" s="368">
        <v>10334.158398344916</v>
      </c>
      <c r="I106" s="370">
        <v>10334.158398344916</v>
      </c>
      <c r="J106" s="162">
        <v>0</v>
      </c>
      <c r="K106" s="162"/>
      <c r="L106" s="380">
        <f t="shared" si="23"/>
        <v>10334.158398344916</v>
      </c>
      <c r="M106" s="381">
        <f>IF(L106&lt;&gt;0,+H106-L106,0)</f>
        <v>0</v>
      </c>
      <c r="N106" s="380">
        <f t="shared" si="24"/>
        <v>10334.158398344916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2"/>
        <v/>
      </c>
      <c r="C107" s="157">
        <f>IF(D93="","-",+C106+1)</f>
        <v>2015</v>
      </c>
      <c r="D107" s="366">
        <v>62883</v>
      </c>
      <c r="E107" s="368">
        <v>1395</v>
      </c>
      <c r="F107" s="371">
        <v>61488</v>
      </c>
      <c r="G107" s="371">
        <v>62185.5</v>
      </c>
      <c r="H107" s="368">
        <v>9879.7114789405332</v>
      </c>
      <c r="I107" s="370">
        <v>9879.7114789405332</v>
      </c>
      <c r="J107" s="162">
        <f t="shared" si="18"/>
        <v>0</v>
      </c>
      <c r="K107" s="162"/>
      <c r="L107" s="380">
        <f>H107</f>
        <v>9879.7114789405332</v>
      </c>
      <c r="M107" s="381">
        <f>IF(L107&lt;&gt;0,+H107-L107,0)</f>
        <v>0</v>
      </c>
      <c r="N107" s="380">
        <f>I107</f>
        <v>9879.7114789405332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22"/>
        <v/>
      </c>
      <c r="C108" s="157">
        <f>IF(D93="","-",+C107+1)</f>
        <v>2016</v>
      </c>
      <c r="D108" s="366">
        <v>61488</v>
      </c>
      <c r="E108" s="368">
        <v>1577</v>
      </c>
      <c r="F108" s="371">
        <v>59911</v>
      </c>
      <c r="G108" s="371">
        <v>60699.5</v>
      </c>
      <c r="H108" s="368">
        <v>9402.1214987986186</v>
      </c>
      <c r="I108" s="370">
        <v>9402.1214987986186</v>
      </c>
      <c r="J108" s="162">
        <v>0</v>
      </c>
      <c r="K108" s="162"/>
      <c r="L108" s="380">
        <f>H108</f>
        <v>9402.1214987986186</v>
      </c>
      <c r="M108" s="381">
        <f>IF(L108&lt;&gt;0,+H108-L108,0)</f>
        <v>0</v>
      </c>
      <c r="N108" s="380">
        <f>I108</f>
        <v>9402.1214987986186</v>
      </c>
      <c r="O108" s="162">
        <f>IF(N108&lt;&gt;0,+I108-N108,0)</f>
        <v>0</v>
      </c>
      <c r="P108" s="162">
        <f>+O108-M108</f>
        <v>0</v>
      </c>
    </row>
    <row r="109" spans="1:16">
      <c r="B109" s="9" t="str">
        <f t="shared" si="22"/>
        <v/>
      </c>
      <c r="C109" s="157">
        <f>IF(D93="","-",+C108+1)</f>
        <v>2017</v>
      </c>
      <c r="D109" s="158">
        <f>IF(F108+SUM(E$99:E108)=D$92,F108,D$92-SUM(E$99:E108))</f>
        <v>59911</v>
      </c>
      <c r="E109" s="165">
        <f>IF(+J96&lt;F108,J96,D109)</f>
        <v>1577</v>
      </c>
      <c r="F109" s="163">
        <f t="shared" ref="F109:F154" si="25">+D109-E109</f>
        <v>58334</v>
      </c>
      <c r="G109" s="163">
        <f t="shared" ref="G109:G154" si="26">+(F109+D109)/2</f>
        <v>59122.5</v>
      </c>
      <c r="H109" s="167">
        <f t="shared" ref="H109:H154" si="27">+J$94*G109+E109</f>
        <v>9076.8382024367129</v>
      </c>
      <c r="I109" s="317">
        <f t="shared" ref="I109:I154" si="28">+J$95*G109+E109</f>
        <v>9076.8382024367129</v>
      </c>
      <c r="J109" s="162">
        <f t="shared" si="18"/>
        <v>0</v>
      </c>
      <c r="K109" s="162"/>
      <c r="L109" s="335"/>
      <c r="M109" s="162">
        <f t="shared" si="19"/>
        <v>0</v>
      </c>
      <c r="N109" s="335"/>
      <c r="O109" s="162">
        <f t="shared" si="20"/>
        <v>0</v>
      </c>
      <c r="P109" s="162">
        <f t="shared" si="21"/>
        <v>0</v>
      </c>
    </row>
    <row r="110" spans="1:16">
      <c r="B110" s="9" t="str">
        <f t="shared" si="22"/>
        <v/>
      </c>
      <c r="C110" s="157">
        <f>IF(D93="","-",+C109+1)</f>
        <v>2018</v>
      </c>
      <c r="D110" s="158">
        <f>IF(F109+SUM(E$99:E109)=D$92,F109,D$92-SUM(E$99:E109))</f>
        <v>58334</v>
      </c>
      <c r="E110" s="165">
        <f>IF(+J96&lt;F109,J96,D110)</f>
        <v>1577</v>
      </c>
      <c r="F110" s="163">
        <f t="shared" si="25"/>
        <v>56757</v>
      </c>
      <c r="G110" s="163">
        <f t="shared" si="26"/>
        <v>57545.5</v>
      </c>
      <c r="H110" s="167">
        <f t="shared" si="27"/>
        <v>8876.7917760298005</v>
      </c>
      <c r="I110" s="317">
        <f t="shared" si="28"/>
        <v>8876.7917760298005</v>
      </c>
      <c r="J110" s="162">
        <f t="shared" si="18"/>
        <v>0</v>
      </c>
      <c r="K110" s="162"/>
      <c r="L110" s="335"/>
      <c r="M110" s="162">
        <f t="shared" si="19"/>
        <v>0</v>
      </c>
      <c r="N110" s="335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2"/>
        <v/>
      </c>
      <c r="C111" s="157">
        <f>IF(D93="","-",+C110+1)</f>
        <v>2019</v>
      </c>
      <c r="D111" s="158">
        <f>IF(F110+SUM(E$99:E110)=D$92,F110,D$92-SUM(E$99:E110))</f>
        <v>56757</v>
      </c>
      <c r="E111" s="165">
        <f>IF(+J96&lt;F110,J96,D111)</f>
        <v>1577</v>
      </c>
      <c r="F111" s="163">
        <f t="shared" si="25"/>
        <v>55180</v>
      </c>
      <c r="G111" s="163">
        <f t="shared" si="26"/>
        <v>55968.5</v>
      </c>
      <c r="H111" s="167">
        <f t="shared" si="27"/>
        <v>8676.7453496228882</v>
      </c>
      <c r="I111" s="317">
        <f t="shared" si="28"/>
        <v>8676.7453496228882</v>
      </c>
      <c r="J111" s="162">
        <f t="shared" si="18"/>
        <v>0</v>
      </c>
      <c r="K111" s="162"/>
      <c r="L111" s="335"/>
      <c r="M111" s="162">
        <f t="shared" si="19"/>
        <v>0</v>
      </c>
      <c r="N111" s="335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2"/>
        <v/>
      </c>
      <c r="C112" s="157">
        <f>IF(D93="","-",+C111+1)</f>
        <v>2020</v>
      </c>
      <c r="D112" s="158">
        <f>IF(F111+SUM(E$99:E111)=D$92,F111,D$92-SUM(E$99:E111))</f>
        <v>55180</v>
      </c>
      <c r="E112" s="165">
        <f>IF(+J96&lt;F111,J96,D112)</f>
        <v>1577</v>
      </c>
      <c r="F112" s="163">
        <f t="shared" si="25"/>
        <v>53603</v>
      </c>
      <c r="G112" s="163">
        <f t="shared" si="26"/>
        <v>54391.5</v>
      </c>
      <c r="H112" s="167">
        <f t="shared" si="27"/>
        <v>8476.6989232159758</v>
      </c>
      <c r="I112" s="317">
        <f t="shared" si="28"/>
        <v>8476.6989232159758</v>
      </c>
      <c r="J112" s="162">
        <f t="shared" si="18"/>
        <v>0</v>
      </c>
      <c r="K112" s="162"/>
      <c r="L112" s="335"/>
      <c r="M112" s="162">
        <f t="shared" si="19"/>
        <v>0</v>
      </c>
      <c r="N112" s="335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2"/>
        <v/>
      </c>
      <c r="C113" s="157">
        <f>IF(D93="","-",+C112+1)</f>
        <v>2021</v>
      </c>
      <c r="D113" s="158">
        <f>IF(F112+SUM(E$99:E112)=D$92,F112,D$92-SUM(E$99:E112))</f>
        <v>53603</v>
      </c>
      <c r="E113" s="165">
        <f>IF(+J96&lt;F112,J96,D113)</f>
        <v>1577</v>
      </c>
      <c r="F113" s="163">
        <f t="shared" si="25"/>
        <v>52026</v>
      </c>
      <c r="G113" s="163">
        <f t="shared" si="26"/>
        <v>52814.5</v>
      </c>
      <c r="H113" s="167">
        <f t="shared" si="27"/>
        <v>8276.6524968090635</v>
      </c>
      <c r="I113" s="317">
        <f t="shared" si="28"/>
        <v>8276.6524968090635</v>
      </c>
      <c r="J113" s="162">
        <f t="shared" si="18"/>
        <v>0</v>
      </c>
      <c r="K113" s="162"/>
      <c r="L113" s="335"/>
      <c r="M113" s="162">
        <f t="shared" si="19"/>
        <v>0</v>
      </c>
      <c r="N113" s="335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2"/>
        <v/>
      </c>
      <c r="C114" s="157">
        <f>IF(D93="","-",+C113+1)</f>
        <v>2022</v>
      </c>
      <c r="D114" s="158">
        <f>IF(F113+SUM(E$99:E113)=D$92,F113,D$92-SUM(E$99:E113))</f>
        <v>52026</v>
      </c>
      <c r="E114" s="165">
        <f>IF(+J96&lt;F113,J96,D114)</f>
        <v>1577</v>
      </c>
      <c r="F114" s="163">
        <f t="shared" si="25"/>
        <v>50449</v>
      </c>
      <c r="G114" s="163">
        <f t="shared" si="26"/>
        <v>51237.5</v>
      </c>
      <c r="H114" s="167">
        <f t="shared" si="27"/>
        <v>8076.6060704021493</v>
      </c>
      <c r="I114" s="317">
        <f t="shared" si="28"/>
        <v>8076.6060704021493</v>
      </c>
      <c r="J114" s="162">
        <f t="shared" si="18"/>
        <v>0</v>
      </c>
      <c r="K114" s="162"/>
      <c r="L114" s="335"/>
      <c r="M114" s="162">
        <f t="shared" si="19"/>
        <v>0</v>
      </c>
      <c r="N114" s="335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2"/>
        <v/>
      </c>
      <c r="C115" s="157">
        <f>IF(D93="","-",+C114+1)</f>
        <v>2023</v>
      </c>
      <c r="D115" s="158">
        <f>IF(F114+SUM(E$99:E114)=D$92,F114,D$92-SUM(E$99:E114))</f>
        <v>50449</v>
      </c>
      <c r="E115" s="165">
        <f>IF(+J96&lt;F114,J96,D115)</f>
        <v>1577</v>
      </c>
      <c r="F115" s="163">
        <f t="shared" si="25"/>
        <v>48872</v>
      </c>
      <c r="G115" s="163">
        <f t="shared" si="26"/>
        <v>49660.5</v>
      </c>
      <c r="H115" s="167">
        <f t="shared" si="27"/>
        <v>7876.5596439952369</v>
      </c>
      <c r="I115" s="317">
        <f t="shared" si="28"/>
        <v>7876.5596439952369</v>
      </c>
      <c r="J115" s="162">
        <f t="shared" si="18"/>
        <v>0</v>
      </c>
      <c r="K115" s="162"/>
      <c r="L115" s="335"/>
      <c r="M115" s="162">
        <f t="shared" si="19"/>
        <v>0</v>
      </c>
      <c r="N115" s="335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2"/>
        <v/>
      </c>
      <c r="C116" s="157">
        <f>IF(D93="","-",+C115+1)</f>
        <v>2024</v>
      </c>
      <c r="D116" s="158">
        <f>IF(F115+SUM(E$99:E115)=D$92,F115,D$92-SUM(E$99:E115))</f>
        <v>48872</v>
      </c>
      <c r="E116" s="165">
        <f>IF(+J96&lt;F115,J96,D116)</f>
        <v>1577</v>
      </c>
      <c r="F116" s="163">
        <f t="shared" si="25"/>
        <v>47295</v>
      </c>
      <c r="G116" s="163">
        <f t="shared" si="26"/>
        <v>48083.5</v>
      </c>
      <c r="H116" s="167">
        <f t="shared" si="27"/>
        <v>7676.5132175883246</v>
      </c>
      <c r="I116" s="317">
        <f t="shared" si="28"/>
        <v>7676.5132175883246</v>
      </c>
      <c r="J116" s="162">
        <f t="shared" si="18"/>
        <v>0</v>
      </c>
      <c r="K116" s="162"/>
      <c r="L116" s="335"/>
      <c r="M116" s="162">
        <f t="shared" si="19"/>
        <v>0</v>
      </c>
      <c r="N116" s="335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2"/>
        <v/>
      </c>
      <c r="C117" s="157">
        <f>IF(D93="","-",+C116+1)</f>
        <v>2025</v>
      </c>
      <c r="D117" s="158">
        <f>IF(F116+SUM(E$99:E116)=D$92,F116,D$92-SUM(E$99:E116))</f>
        <v>47295</v>
      </c>
      <c r="E117" s="165">
        <f>IF(+J96&lt;F116,J96,D117)</f>
        <v>1577</v>
      </c>
      <c r="F117" s="163">
        <f t="shared" si="25"/>
        <v>45718</v>
      </c>
      <c r="G117" s="163">
        <f t="shared" si="26"/>
        <v>46506.5</v>
      </c>
      <c r="H117" s="167">
        <f t="shared" si="27"/>
        <v>7476.4667911814113</v>
      </c>
      <c r="I117" s="317">
        <f t="shared" si="28"/>
        <v>7476.4667911814113</v>
      </c>
      <c r="J117" s="162">
        <f t="shared" si="18"/>
        <v>0</v>
      </c>
      <c r="K117" s="162"/>
      <c r="L117" s="335"/>
      <c r="M117" s="162">
        <f t="shared" si="19"/>
        <v>0</v>
      </c>
      <c r="N117" s="335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2"/>
        <v/>
      </c>
      <c r="C118" s="157">
        <f>IF(D93="","-",+C117+1)</f>
        <v>2026</v>
      </c>
      <c r="D118" s="158">
        <f>IF(F117+SUM(E$99:E117)=D$92,F117,D$92-SUM(E$99:E117))</f>
        <v>45718</v>
      </c>
      <c r="E118" s="165">
        <f>IF(+J96&lt;F117,J96,D118)</f>
        <v>1577</v>
      </c>
      <c r="F118" s="163">
        <f t="shared" si="25"/>
        <v>44141</v>
      </c>
      <c r="G118" s="163">
        <f t="shared" si="26"/>
        <v>44929.5</v>
      </c>
      <c r="H118" s="167">
        <f t="shared" si="27"/>
        <v>7276.4203647744989</v>
      </c>
      <c r="I118" s="317">
        <f t="shared" si="28"/>
        <v>7276.4203647744989</v>
      </c>
      <c r="J118" s="162">
        <f t="shared" si="18"/>
        <v>0</v>
      </c>
      <c r="K118" s="162"/>
      <c r="L118" s="335"/>
      <c r="M118" s="162">
        <f t="shared" si="19"/>
        <v>0</v>
      </c>
      <c r="N118" s="335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2"/>
        <v/>
      </c>
      <c r="C119" s="157">
        <f>IF(D93="","-",+C118+1)</f>
        <v>2027</v>
      </c>
      <c r="D119" s="158">
        <f>IF(F118+SUM(E$99:E118)=D$92,F118,D$92-SUM(E$99:E118))</f>
        <v>44141</v>
      </c>
      <c r="E119" s="165">
        <f>IF(+J96&lt;F118,J96,D119)</f>
        <v>1577</v>
      </c>
      <c r="F119" s="163">
        <f t="shared" si="25"/>
        <v>42564</v>
      </c>
      <c r="G119" s="163">
        <f t="shared" si="26"/>
        <v>43352.5</v>
      </c>
      <c r="H119" s="167">
        <f t="shared" si="27"/>
        <v>7076.3739383675857</v>
      </c>
      <c r="I119" s="317">
        <f t="shared" si="28"/>
        <v>7076.3739383675857</v>
      </c>
      <c r="J119" s="162">
        <f t="shared" si="18"/>
        <v>0</v>
      </c>
      <c r="K119" s="162"/>
      <c r="L119" s="335"/>
      <c r="M119" s="162">
        <f t="shared" si="19"/>
        <v>0</v>
      </c>
      <c r="N119" s="335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2"/>
        <v/>
      </c>
      <c r="C120" s="157">
        <f>IF(D93="","-",+C119+1)</f>
        <v>2028</v>
      </c>
      <c r="D120" s="158">
        <f>IF(F119+SUM(E$99:E119)=D$92,F119,D$92-SUM(E$99:E119))</f>
        <v>42564</v>
      </c>
      <c r="E120" s="165">
        <f>IF(+J96&lt;F119,J96,D120)</f>
        <v>1577</v>
      </c>
      <c r="F120" s="163">
        <f t="shared" si="25"/>
        <v>40987</v>
      </c>
      <c r="G120" s="163">
        <f t="shared" si="26"/>
        <v>41775.5</v>
      </c>
      <c r="H120" s="167">
        <f t="shared" si="27"/>
        <v>6876.3275119606733</v>
      </c>
      <c r="I120" s="317">
        <f t="shared" si="28"/>
        <v>6876.3275119606733</v>
      </c>
      <c r="J120" s="162">
        <f t="shared" si="18"/>
        <v>0</v>
      </c>
      <c r="K120" s="162"/>
      <c r="L120" s="335"/>
      <c r="M120" s="162">
        <f t="shared" si="19"/>
        <v>0</v>
      </c>
      <c r="N120" s="335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2"/>
        <v/>
      </c>
      <c r="C121" s="157">
        <f>IF(D93="","-",+C120+1)</f>
        <v>2029</v>
      </c>
      <c r="D121" s="158">
        <f>IF(F120+SUM(E$99:E120)=D$92,F120,D$92-SUM(E$99:E120))</f>
        <v>40987</v>
      </c>
      <c r="E121" s="165">
        <f>IF(+J96&lt;F120,J96,D121)</f>
        <v>1577</v>
      </c>
      <c r="F121" s="163">
        <f t="shared" si="25"/>
        <v>39410</v>
      </c>
      <c r="G121" s="163">
        <f t="shared" si="26"/>
        <v>40198.5</v>
      </c>
      <c r="H121" s="167">
        <f t="shared" si="27"/>
        <v>6676.2810855537609</v>
      </c>
      <c r="I121" s="317">
        <f t="shared" si="28"/>
        <v>6676.2810855537609</v>
      </c>
      <c r="J121" s="162">
        <f t="shared" si="18"/>
        <v>0</v>
      </c>
      <c r="K121" s="162"/>
      <c r="L121" s="335"/>
      <c r="M121" s="162">
        <f t="shared" si="19"/>
        <v>0</v>
      </c>
      <c r="N121" s="335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2"/>
        <v/>
      </c>
      <c r="C122" s="157">
        <f>IF(D93="","-",+C121+1)</f>
        <v>2030</v>
      </c>
      <c r="D122" s="158">
        <f>IF(F121+SUM(E$99:E121)=D$92,F121,D$92-SUM(E$99:E121))</f>
        <v>39410</v>
      </c>
      <c r="E122" s="165">
        <f>IF(+J96&lt;F121,J96,D122)</f>
        <v>1577</v>
      </c>
      <c r="F122" s="163">
        <f t="shared" si="25"/>
        <v>37833</v>
      </c>
      <c r="G122" s="163">
        <f t="shared" si="26"/>
        <v>38621.5</v>
      </c>
      <c r="H122" s="167">
        <f t="shared" si="27"/>
        <v>6476.2346591468477</v>
      </c>
      <c r="I122" s="317">
        <f t="shared" si="28"/>
        <v>6476.2346591468477</v>
      </c>
      <c r="J122" s="162">
        <f t="shared" si="18"/>
        <v>0</v>
      </c>
      <c r="K122" s="162"/>
      <c r="L122" s="335"/>
      <c r="M122" s="162">
        <f t="shared" si="19"/>
        <v>0</v>
      </c>
      <c r="N122" s="335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2"/>
        <v/>
      </c>
      <c r="C123" s="157">
        <f>IF(D93="","-",+C122+1)</f>
        <v>2031</v>
      </c>
      <c r="D123" s="158">
        <f>IF(F122+SUM(E$99:E122)=D$92,F122,D$92-SUM(E$99:E122))</f>
        <v>37833</v>
      </c>
      <c r="E123" s="165">
        <f>IF(+J96&lt;F122,J96,D123)</f>
        <v>1577</v>
      </c>
      <c r="F123" s="163">
        <f t="shared" si="25"/>
        <v>36256</v>
      </c>
      <c r="G123" s="163">
        <f t="shared" si="26"/>
        <v>37044.5</v>
      </c>
      <c r="H123" s="167">
        <f t="shared" si="27"/>
        <v>6276.1882327399353</v>
      </c>
      <c r="I123" s="317">
        <f t="shared" si="28"/>
        <v>6276.1882327399353</v>
      </c>
      <c r="J123" s="162">
        <f t="shared" si="18"/>
        <v>0</v>
      </c>
      <c r="K123" s="162"/>
      <c r="L123" s="335"/>
      <c r="M123" s="162">
        <f t="shared" si="19"/>
        <v>0</v>
      </c>
      <c r="N123" s="335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2"/>
        <v/>
      </c>
      <c r="C124" s="157">
        <f>IF(D93="","-",+C123+1)</f>
        <v>2032</v>
      </c>
      <c r="D124" s="158">
        <f>IF(F123+SUM(E$99:E123)=D$92,F123,D$92-SUM(E$99:E123))</f>
        <v>36256</v>
      </c>
      <c r="E124" s="165">
        <f>IF(+J96&lt;F123,J96,D124)</f>
        <v>1577</v>
      </c>
      <c r="F124" s="163">
        <f t="shared" si="25"/>
        <v>34679</v>
      </c>
      <c r="G124" s="163">
        <f t="shared" si="26"/>
        <v>35467.5</v>
      </c>
      <c r="H124" s="167">
        <f t="shared" si="27"/>
        <v>6076.1418063330229</v>
      </c>
      <c r="I124" s="317">
        <f t="shared" si="28"/>
        <v>6076.1418063330229</v>
      </c>
      <c r="J124" s="162">
        <f t="shared" si="18"/>
        <v>0</v>
      </c>
      <c r="K124" s="162"/>
      <c r="L124" s="335"/>
      <c r="M124" s="162">
        <f t="shared" si="19"/>
        <v>0</v>
      </c>
      <c r="N124" s="335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2"/>
        <v/>
      </c>
      <c r="C125" s="157">
        <f>IF(D93="","-",+C124+1)</f>
        <v>2033</v>
      </c>
      <c r="D125" s="158">
        <f>IF(F124+SUM(E$99:E124)=D$92,F124,D$92-SUM(E$99:E124))</f>
        <v>34679</v>
      </c>
      <c r="E125" s="165">
        <f>IF(+J96&lt;F124,J96,D125)</f>
        <v>1577</v>
      </c>
      <c r="F125" s="163">
        <f t="shared" si="25"/>
        <v>33102</v>
      </c>
      <c r="G125" s="163">
        <f t="shared" si="26"/>
        <v>33890.5</v>
      </c>
      <c r="H125" s="167">
        <f t="shared" si="27"/>
        <v>5876.0953799261097</v>
      </c>
      <c r="I125" s="317">
        <f t="shared" si="28"/>
        <v>5876.0953799261097</v>
      </c>
      <c r="J125" s="162">
        <f t="shared" si="18"/>
        <v>0</v>
      </c>
      <c r="K125" s="162"/>
      <c r="L125" s="335"/>
      <c r="M125" s="162">
        <f t="shared" si="19"/>
        <v>0</v>
      </c>
      <c r="N125" s="335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2"/>
        <v/>
      </c>
      <c r="C126" s="157">
        <f>IF(D93="","-",+C125+1)</f>
        <v>2034</v>
      </c>
      <c r="D126" s="158">
        <f>IF(F125+SUM(E$99:E125)=D$92,F125,D$92-SUM(E$99:E125))</f>
        <v>33102</v>
      </c>
      <c r="E126" s="165">
        <f>IF(+J96&lt;F125,J96,D126)</f>
        <v>1577</v>
      </c>
      <c r="F126" s="163">
        <f t="shared" si="25"/>
        <v>31525</v>
      </c>
      <c r="G126" s="163">
        <f t="shared" si="26"/>
        <v>32313.5</v>
      </c>
      <c r="H126" s="167">
        <f t="shared" si="27"/>
        <v>5676.0489535191973</v>
      </c>
      <c r="I126" s="317">
        <f t="shared" si="28"/>
        <v>5676.0489535191973</v>
      </c>
      <c r="J126" s="162">
        <f t="shared" si="18"/>
        <v>0</v>
      </c>
      <c r="K126" s="162"/>
      <c r="L126" s="335"/>
      <c r="M126" s="162">
        <f t="shared" si="19"/>
        <v>0</v>
      </c>
      <c r="N126" s="335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2"/>
        <v/>
      </c>
      <c r="C127" s="157">
        <f>IF(D93="","-",+C126+1)</f>
        <v>2035</v>
      </c>
      <c r="D127" s="158">
        <f>IF(F126+SUM(E$99:E126)=D$92,F126,D$92-SUM(E$99:E126))</f>
        <v>31525</v>
      </c>
      <c r="E127" s="165">
        <f>IF(+J96&lt;F126,J96,D127)</f>
        <v>1577</v>
      </c>
      <c r="F127" s="163">
        <f t="shared" si="25"/>
        <v>29948</v>
      </c>
      <c r="G127" s="163">
        <f t="shared" si="26"/>
        <v>30736.5</v>
      </c>
      <c r="H127" s="167">
        <f t="shared" si="27"/>
        <v>5476.002527112285</v>
      </c>
      <c r="I127" s="317">
        <f t="shared" si="28"/>
        <v>5476.002527112285</v>
      </c>
      <c r="J127" s="162">
        <f t="shared" si="18"/>
        <v>0</v>
      </c>
      <c r="K127" s="162"/>
      <c r="L127" s="335"/>
      <c r="M127" s="162">
        <f t="shared" si="19"/>
        <v>0</v>
      </c>
      <c r="N127" s="335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2"/>
        <v/>
      </c>
      <c r="C128" s="157">
        <f>IF(D93="","-",+C127+1)</f>
        <v>2036</v>
      </c>
      <c r="D128" s="158">
        <f>IF(F127+SUM(E$99:E127)=D$92,F127,D$92-SUM(E$99:E127))</f>
        <v>29948</v>
      </c>
      <c r="E128" s="165">
        <f>IF(+J96&lt;F127,J96,D128)</f>
        <v>1577</v>
      </c>
      <c r="F128" s="163">
        <f t="shared" si="25"/>
        <v>28371</v>
      </c>
      <c r="G128" s="163">
        <f t="shared" si="26"/>
        <v>29159.5</v>
      </c>
      <c r="H128" s="167">
        <f t="shared" si="27"/>
        <v>5275.9561007053717</v>
      </c>
      <c r="I128" s="317">
        <f t="shared" si="28"/>
        <v>5275.9561007053717</v>
      </c>
      <c r="J128" s="162">
        <f t="shared" si="18"/>
        <v>0</v>
      </c>
      <c r="K128" s="162"/>
      <c r="L128" s="335"/>
      <c r="M128" s="162">
        <f t="shared" si="19"/>
        <v>0</v>
      </c>
      <c r="N128" s="335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2"/>
        <v/>
      </c>
      <c r="C129" s="157">
        <f>IF(D93="","-",+C128+1)</f>
        <v>2037</v>
      </c>
      <c r="D129" s="158">
        <f>IF(F128+SUM(E$99:E128)=D$92,F128,D$92-SUM(E$99:E128))</f>
        <v>28371</v>
      </c>
      <c r="E129" s="165">
        <f>IF(+J96&lt;F128,J96,D129)</f>
        <v>1577</v>
      </c>
      <c r="F129" s="163">
        <f t="shared" si="25"/>
        <v>26794</v>
      </c>
      <c r="G129" s="163">
        <f t="shared" si="26"/>
        <v>27582.5</v>
      </c>
      <c r="H129" s="167">
        <f t="shared" si="27"/>
        <v>5075.9096742984584</v>
      </c>
      <c r="I129" s="317">
        <f t="shared" si="28"/>
        <v>5075.9096742984584</v>
      </c>
      <c r="J129" s="162">
        <f t="shared" si="18"/>
        <v>0</v>
      </c>
      <c r="K129" s="162"/>
      <c r="L129" s="335"/>
      <c r="M129" s="162">
        <f t="shared" si="19"/>
        <v>0</v>
      </c>
      <c r="N129" s="335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2"/>
        <v/>
      </c>
      <c r="C130" s="157">
        <f>IF(D93="","-",+C129+1)</f>
        <v>2038</v>
      </c>
      <c r="D130" s="158">
        <f>IF(F129+SUM(E$99:E129)=D$92,F129,D$92-SUM(E$99:E129))</f>
        <v>26794</v>
      </c>
      <c r="E130" s="165">
        <f>IF(+J96&lt;F129,J96,D130)</f>
        <v>1577</v>
      </c>
      <c r="F130" s="163">
        <f t="shared" si="25"/>
        <v>25217</v>
      </c>
      <c r="G130" s="163">
        <f t="shared" si="26"/>
        <v>26005.5</v>
      </c>
      <c r="H130" s="167">
        <f t="shared" si="27"/>
        <v>4875.8632478915461</v>
      </c>
      <c r="I130" s="317">
        <f t="shared" si="28"/>
        <v>4875.8632478915461</v>
      </c>
      <c r="J130" s="162">
        <f t="shared" si="18"/>
        <v>0</v>
      </c>
      <c r="K130" s="162"/>
      <c r="L130" s="335"/>
      <c r="M130" s="162">
        <f t="shared" si="19"/>
        <v>0</v>
      </c>
      <c r="N130" s="335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2"/>
        <v/>
      </c>
      <c r="C131" s="157">
        <f>IF(D93="","-",+C130+1)</f>
        <v>2039</v>
      </c>
      <c r="D131" s="158">
        <f>IF(F130+SUM(E$99:E130)=D$92,F130,D$92-SUM(E$99:E130))</f>
        <v>25217</v>
      </c>
      <c r="E131" s="165">
        <f>IF(+J96&lt;F130,J96,D131)</f>
        <v>1577</v>
      </c>
      <c r="F131" s="163">
        <f t="shared" si="25"/>
        <v>23640</v>
      </c>
      <c r="G131" s="163">
        <f t="shared" si="26"/>
        <v>24428.5</v>
      </c>
      <c r="H131" s="167">
        <f t="shared" si="27"/>
        <v>4675.8168214846337</v>
      </c>
      <c r="I131" s="317">
        <f t="shared" si="28"/>
        <v>4675.8168214846337</v>
      </c>
      <c r="J131" s="162">
        <f t="shared" ref="J131:J154" si="29">+I541-H541</f>
        <v>0</v>
      </c>
      <c r="K131" s="162"/>
      <c r="L131" s="335"/>
      <c r="M131" s="162">
        <f t="shared" ref="M131:M154" si="30">IF(L541&lt;&gt;0,+H541-L541,0)</f>
        <v>0</v>
      </c>
      <c r="N131" s="335"/>
      <c r="O131" s="162">
        <f t="shared" ref="O131:O154" si="31">IF(N541&lt;&gt;0,+I541-N541,0)</f>
        <v>0</v>
      </c>
      <c r="P131" s="162">
        <f t="shared" ref="P131:P154" si="32">+O541-M541</f>
        <v>0</v>
      </c>
    </row>
    <row r="132" spans="2:16">
      <c r="B132" s="9" t="str">
        <f t="shared" si="22"/>
        <v/>
      </c>
      <c r="C132" s="157">
        <f>IF(D93="","-",+C131+1)</f>
        <v>2040</v>
      </c>
      <c r="D132" s="158">
        <f>IF(F131+SUM(E$99:E131)=D$92,F131,D$92-SUM(E$99:E131))</f>
        <v>23640</v>
      </c>
      <c r="E132" s="165">
        <f>IF(+J96&lt;F131,J96,D132)</f>
        <v>1577</v>
      </c>
      <c r="F132" s="163">
        <f t="shared" si="25"/>
        <v>22063</v>
      </c>
      <c r="G132" s="163">
        <f t="shared" si="26"/>
        <v>22851.5</v>
      </c>
      <c r="H132" s="167">
        <f t="shared" si="27"/>
        <v>4475.7703950777213</v>
      </c>
      <c r="I132" s="317">
        <f t="shared" si="28"/>
        <v>4475.7703950777213</v>
      </c>
      <c r="J132" s="162">
        <f t="shared" si="29"/>
        <v>0</v>
      </c>
      <c r="K132" s="162"/>
      <c r="L132" s="335"/>
      <c r="M132" s="162">
        <f t="shared" si="30"/>
        <v>0</v>
      </c>
      <c r="N132" s="335"/>
      <c r="O132" s="162">
        <f t="shared" si="31"/>
        <v>0</v>
      </c>
      <c r="P132" s="162">
        <f t="shared" si="32"/>
        <v>0</v>
      </c>
    </row>
    <row r="133" spans="2:16">
      <c r="B133" s="9" t="str">
        <f t="shared" si="22"/>
        <v/>
      </c>
      <c r="C133" s="157">
        <f>IF(D93="","-",+C132+1)</f>
        <v>2041</v>
      </c>
      <c r="D133" s="158">
        <f>IF(F132+SUM(E$99:E132)=D$92,F132,D$92-SUM(E$99:E132))</f>
        <v>22063</v>
      </c>
      <c r="E133" s="165">
        <f>IF(+J96&lt;F132,J96,D133)</f>
        <v>1577</v>
      </c>
      <c r="F133" s="163">
        <f t="shared" si="25"/>
        <v>20486</v>
      </c>
      <c r="G133" s="163">
        <f t="shared" si="26"/>
        <v>21274.5</v>
      </c>
      <c r="H133" s="167">
        <f t="shared" si="27"/>
        <v>4275.7239686708081</v>
      </c>
      <c r="I133" s="317">
        <f t="shared" si="28"/>
        <v>4275.7239686708081</v>
      </c>
      <c r="J133" s="162">
        <f t="shared" si="29"/>
        <v>0</v>
      </c>
      <c r="K133" s="162"/>
      <c r="L133" s="335"/>
      <c r="M133" s="162">
        <f t="shared" si="30"/>
        <v>0</v>
      </c>
      <c r="N133" s="335"/>
      <c r="O133" s="162">
        <f t="shared" si="31"/>
        <v>0</v>
      </c>
      <c r="P133" s="162">
        <f t="shared" si="32"/>
        <v>0</v>
      </c>
    </row>
    <row r="134" spans="2:16">
      <c r="B134" s="9" t="str">
        <f t="shared" si="22"/>
        <v/>
      </c>
      <c r="C134" s="157">
        <f>IF(D93="","-",+C133+1)</f>
        <v>2042</v>
      </c>
      <c r="D134" s="158">
        <f>IF(F133+SUM(E$99:E133)=D$92,F133,D$92-SUM(E$99:E133))</f>
        <v>20486</v>
      </c>
      <c r="E134" s="165">
        <f>IF(+J96&lt;F133,J96,D134)</f>
        <v>1577</v>
      </c>
      <c r="F134" s="163">
        <f t="shared" si="25"/>
        <v>18909</v>
      </c>
      <c r="G134" s="163">
        <f t="shared" si="26"/>
        <v>19697.5</v>
      </c>
      <c r="H134" s="167">
        <f t="shared" si="27"/>
        <v>4075.6775422638952</v>
      </c>
      <c r="I134" s="317">
        <f t="shared" si="28"/>
        <v>4075.6775422638952</v>
      </c>
      <c r="J134" s="162">
        <f t="shared" si="29"/>
        <v>0</v>
      </c>
      <c r="K134" s="162"/>
      <c r="L134" s="335"/>
      <c r="M134" s="162">
        <f t="shared" si="30"/>
        <v>0</v>
      </c>
      <c r="N134" s="335"/>
      <c r="O134" s="162">
        <f t="shared" si="31"/>
        <v>0</v>
      </c>
      <c r="P134" s="162">
        <f t="shared" si="32"/>
        <v>0</v>
      </c>
    </row>
    <row r="135" spans="2:16">
      <c r="B135" s="9" t="str">
        <f t="shared" si="22"/>
        <v/>
      </c>
      <c r="C135" s="157">
        <f>IF(D93="","-",+C134+1)</f>
        <v>2043</v>
      </c>
      <c r="D135" s="158">
        <f>IF(F134+SUM(E$99:E134)=D$92,F134,D$92-SUM(E$99:E134))</f>
        <v>18909</v>
      </c>
      <c r="E135" s="165">
        <f>IF(+J96&lt;F134,J96,D135)</f>
        <v>1577</v>
      </c>
      <c r="F135" s="163">
        <f t="shared" si="25"/>
        <v>17332</v>
      </c>
      <c r="G135" s="163">
        <f t="shared" si="26"/>
        <v>18120.5</v>
      </c>
      <c r="H135" s="167">
        <f t="shared" si="27"/>
        <v>3875.6311158569829</v>
      </c>
      <c r="I135" s="317">
        <f t="shared" si="28"/>
        <v>3875.6311158569829</v>
      </c>
      <c r="J135" s="162">
        <f t="shared" si="29"/>
        <v>0</v>
      </c>
      <c r="K135" s="162"/>
      <c r="L135" s="335"/>
      <c r="M135" s="162">
        <f t="shared" si="30"/>
        <v>0</v>
      </c>
      <c r="N135" s="335"/>
      <c r="O135" s="162">
        <f t="shared" si="31"/>
        <v>0</v>
      </c>
      <c r="P135" s="162">
        <f t="shared" si="32"/>
        <v>0</v>
      </c>
    </row>
    <row r="136" spans="2:16">
      <c r="B136" s="9" t="str">
        <f t="shared" si="22"/>
        <v/>
      </c>
      <c r="C136" s="157">
        <f>IF(D93="","-",+C135+1)</f>
        <v>2044</v>
      </c>
      <c r="D136" s="158">
        <f>IF(F135+SUM(E$99:E135)=D$92,F135,D$92-SUM(E$99:E135))</f>
        <v>17332</v>
      </c>
      <c r="E136" s="165">
        <f>IF(+J96&lt;F135,J96,D136)</f>
        <v>1577</v>
      </c>
      <c r="F136" s="163">
        <f t="shared" si="25"/>
        <v>15755</v>
      </c>
      <c r="G136" s="163">
        <f t="shared" si="26"/>
        <v>16543.5</v>
      </c>
      <c r="H136" s="167">
        <f t="shared" si="27"/>
        <v>3675.5846894500701</v>
      </c>
      <c r="I136" s="317">
        <f t="shared" si="28"/>
        <v>3675.5846894500701</v>
      </c>
      <c r="J136" s="162">
        <f t="shared" si="29"/>
        <v>0</v>
      </c>
      <c r="K136" s="162"/>
      <c r="L136" s="335"/>
      <c r="M136" s="162">
        <f t="shared" si="30"/>
        <v>0</v>
      </c>
      <c r="N136" s="335"/>
      <c r="O136" s="162">
        <f t="shared" si="31"/>
        <v>0</v>
      </c>
      <c r="P136" s="162">
        <f t="shared" si="32"/>
        <v>0</v>
      </c>
    </row>
    <row r="137" spans="2:16">
      <c r="B137" s="9" t="str">
        <f t="shared" si="22"/>
        <v/>
      </c>
      <c r="C137" s="157">
        <f>IF(D93="","-",+C136+1)</f>
        <v>2045</v>
      </c>
      <c r="D137" s="158">
        <f>IF(F136+SUM(E$99:E136)=D$92,F136,D$92-SUM(E$99:E136))</f>
        <v>15755</v>
      </c>
      <c r="E137" s="165">
        <f>IF(+J96&lt;F136,J96,D137)</f>
        <v>1577</v>
      </c>
      <c r="F137" s="163">
        <f t="shared" si="25"/>
        <v>14178</v>
      </c>
      <c r="G137" s="163">
        <f t="shared" si="26"/>
        <v>14966.5</v>
      </c>
      <c r="H137" s="167">
        <f t="shared" si="27"/>
        <v>3475.5382630431573</v>
      </c>
      <c r="I137" s="317">
        <f t="shared" si="28"/>
        <v>3475.5382630431573</v>
      </c>
      <c r="J137" s="162">
        <f t="shared" si="29"/>
        <v>0</v>
      </c>
      <c r="K137" s="162"/>
      <c r="L137" s="335"/>
      <c r="M137" s="162">
        <f t="shared" si="30"/>
        <v>0</v>
      </c>
      <c r="N137" s="335"/>
      <c r="O137" s="162">
        <f t="shared" si="31"/>
        <v>0</v>
      </c>
      <c r="P137" s="162">
        <f t="shared" si="32"/>
        <v>0</v>
      </c>
    </row>
    <row r="138" spans="2:16">
      <c r="B138" s="9" t="str">
        <f t="shared" si="22"/>
        <v/>
      </c>
      <c r="C138" s="157">
        <f>IF(D93="","-",+C137+1)</f>
        <v>2046</v>
      </c>
      <c r="D138" s="158">
        <f>IF(F137+SUM(E$99:E137)=D$92,F137,D$92-SUM(E$99:E137))</f>
        <v>14178</v>
      </c>
      <c r="E138" s="165">
        <f>IF(+J96&lt;F137,J96,D138)</f>
        <v>1577</v>
      </c>
      <c r="F138" s="163">
        <f t="shared" si="25"/>
        <v>12601</v>
      </c>
      <c r="G138" s="163">
        <f t="shared" si="26"/>
        <v>13389.5</v>
      </c>
      <c r="H138" s="167">
        <f t="shared" si="27"/>
        <v>3275.4918366362444</v>
      </c>
      <c r="I138" s="317">
        <f t="shared" si="28"/>
        <v>3275.4918366362444</v>
      </c>
      <c r="J138" s="162">
        <f t="shared" si="29"/>
        <v>0</v>
      </c>
      <c r="K138" s="162"/>
      <c r="L138" s="335"/>
      <c r="M138" s="162">
        <f t="shared" si="30"/>
        <v>0</v>
      </c>
      <c r="N138" s="335"/>
      <c r="O138" s="162">
        <f t="shared" si="31"/>
        <v>0</v>
      </c>
      <c r="P138" s="162">
        <f t="shared" si="32"/>
        <v>0</v>
      </c>
    </row>
    <row r="139" spans="2:16">
      <c r="B139" s="9" t="str">
        <f t="shared" si="22"/>
        <v/>
      </c>
      <c r="C139" s="157">
        <f>IF(D93="","-",+C138+1)</f>
        <v>2047</v>
      </c>
      <c r="D139" s="158">
        <f>IF(F138+SUM(E$99:E138)=D$92,F138,D$92-SUM(E$99:E138))</f>
        <v>12601</v>
      </c>
      <c r="E139" s="165">
        <f>IF(+J96&lt;F138,J96,D139)</f>
        <v>1577</v>
      </c>
      <c r="F139" s="163">
        <f t="shared" si="25"/>
        <v>11024</v>
      </c>
      <c r="G139" s="163">
        <f t="shared" si="26"/>
        <v>11812.5</v>
      </c>
      <c r="H139" s="167">
        <f t="shared" si="27"/>
        <v>3075.4454102293321</v>
      </c>
      <c r="I139" s="317">
        <f t="shared" si="28"/>
        <v>3075.4454102293321</v>
      </c>
      <c r="J139" s="162">
        <f t="shared" si="29"/>
        <v>0</v>
      </c>
      <c r="K139" s="162"/>
      <c r="L139" s="335"/>
      <c r="M139" s="162">
        <f t="shared" si="30"/>
        <v>0</v>
      </c>
      <c r="N139" s="335"/>
      <c r="O139" s="162">
        <f t="shared" si="31"/>
        <v>0</v>
      </c>
      <c r="P139" s="162">
        <f t="shared" si="32"/>
        <v>0</v>
      </c>
    </row>
    <row r="140" spans="2:16">
      <c r="B140" s="9" t="str">
        <f t="shared" si="22"/>
        <v/>
      </c>
      <c r="C140" s="157">
        <f>IF(D93="","-",+C139+1)</f>
        <v>2048</v>
      </c>
      <c r="D140" s="158">
        <f>IF(F139+SUM(E$99:E139)=D$92,F139,D$92-SUM(E$99:E139))</f>
        <v>11024</v>
      </c>
      <c r="E140" s="165">
        <f>IF(+J96&lt;F139,J96,D140)</f>
        <v>1577</v>
      </c>
      <c r="F140" s="163">
        <f t="shared" si="25"/>
        <v>9447</v>
      </c>
      <c r="G140" s="163">
        <f t="shared" si="26"/>
        <v>10235.5</v>
      </c>
      <c r="H140" s="167">
        <f t="shared" si="27"/>
        <v>2875.3989838224193</v>
      </c>
      <c r="I140" s="317">
        <f t="shared" si="28"/>
        <v>2875.3989838224193</v>
      </c>
      <c r="J140" s="162">
        <f t="shared" si="29"/>
        <v>0</v>
      </c>
      <c r="K140" s="162"/>
      <c r="L140" s="335"/>
      <c r="M140" s="162">
        <f t="shared" si="30"/>
        <v>0</v>
      </c>
      <c r="N140" s="335"/>
      <c r="O140" s="162">
        <f t="shared" si="31"/>
        <v>0</v>
      </c>
      <c r="P140" s="162">
        <f t="shared" si="32"/>
        <v>0</v>
      </c>
    </row>
    <row r="141" spans="2:16">
      <c r="B141" s="9" t="str">
        <f t="shared" si="22"/>
        <v/>
      </c>
      <c r="C141" s="157">
        <f>IF(D93="","-",+C140+1)</f>
        <v>2049</v>
      </c>
      <c r="D141" s="158">
        <f>IF(F140+SUM(E$99:E140)=D$92,F140,D$92-SUM(E$99:E140))</f>
        <v>9447</v>
      </c>
      <c r="E141" s="165">
        <f>IF(+J96&lt;F140,J96,D141)</f>
        <v>1577</v>
      </c>
      <c r="F141" s="163">
        <f t="shared" si="25"/>
        <v>7870</v>
      </c>
      <c r="G141" s="163">
        <f t="shared" si="26"/>
        <v>8658.5</v>
      </c>
      <c r="H141" s="167">
        <f t="shared" si="27"/>
        <v>2675.3525574155065</v>
      </c>
      <c r="I141" s="317">
        <f t="shared" si="28"/>
        <v>2675.3525574155065</v>
      </c>
      <c r="J141" s="162">
        <f t="shared" si="29"/>
        <v>0</v>
      </c>
      <c r="K141" s="162"/>
      <c r="L141" s="335"/>
      <c r="M141" s="162">
        <f t="shared" si="30"/>
        <v>0</v>
      </c>
      <c r="N141" s="335"/>
      <c r="O141" s="162">
        <f t="shared" si="31"/>
        <v>0</v>
      </c>
      <c r="P141" s="162">
        <f t="shared" si="32"/>
        <v>0</v>
      </c>
    </row>
    <row r="142" spans="2:16">
      <c r="B142" s="9" t="str">
        <f t="shared" si="22"/>
        <v/>
      </c>
      <c r="C142" s="157">
        <f>IF(D93="","-",+C141+1)</f>
        <v>2050</v>
      </c>
      <c r="D142" s="158">
        <f>IF(F141+SUM(E$99:E141)=D$92,F141,D$92-SUM(E$99:E141))</f>
        <v>7870</v>
      </c>
      <c r="E142" s="165">
        <f>IF(+J96&lt;F141,J96,D142)</f>
        <v>1577</v>
      </c>
      <c r="F142" s="163">
        <f t="shared" si="25"/>
        <v>6293</v>
      </c>
      <c r="G142" s="163">
        <f t="shared" si="26"/>
        <v>7081.5</v>
      </c>
      <c r="H142" s="167">
        <f t="shared" si="27"/>
        <v>2475.3061310085936</v>
      </c>
      <c r="I142" s="317">
        <f t="shared" si="28"/>
        <v>2475.3061310085936</v>
      </c>
      <c r="J142" s="162">
        <f t="shared" si="29"/>
        <v>0</v>
      </c>
      <c r="K142" s="162"/>
      <c r="L142" s="335"/>
      <c r="M142" s="162">
        <f t="shared" si="30"/>
        <v>0</v>
      </c>
      <c r="N142" s="335"/>
      <c r="O142" s="162">
        <f t="shared" si="31"/>
        <v>0</v>
      </c>
      <c r="P142" s="162">
        <f t="shared" si="32"/>
        <v>0</v>
      </c>
    </row>
    <row r="143" spans="2:16">
      <c r="B143" s="9" t="str">
        <f t="shared" si="22"/>
        <v/>
      </c>
      <c r="C143" s="157">
        <f>IF(D93="","-",+C142+1)</f>
        <v>2051</v>
      </c>
      <c r="D143" s="158">
        <f>IF(F142+SUM(E$99:E142)=D$92,F142,D$92-SUM(E$99:E142))</f>
        <v>6293</v>
      </c>
      <c r="E143" s="165">
        <f>IF(+J96&lt;F142,J96,D143)</f>
        <v>1577</v>
      </c>
      <c r="F143" s="163">
        <f t="shared" si="25"/>
        <v>4716</v>
      </c>
      <c r="G143" s="163">
        <f t="shared" si="26"/>
        <v>5504.5</v>
      </c>
      <c r="H143" s="167">
        <f t="shared" si="27"/>
        <v>2275.2597046016808</v>
      </c>
      <c r="I143" s="317">
        <f t="shared" si="28"/>
        <v>2275.2597046016808</v>
      </c>
      <c r="J143" s="162">
        <f t="shared" si="29"/>
        <v>0</v>
      </c>
      <c r="K143" s="162"/>
      <c r="L143" s="335"/>
      <c r="M143" s="162">
        <f t="shared" si="30"/>
        <v>0</v>
      </c>
      <c r="N143" s="335"/>
      <c r="O143" s="162">
        <f t="shared" si="31"/>
        <v>0</v>
      </c>
      <c r="P143" s="162">
        <f t="shared" si="32"/>
        <v>0</v>
      </c>
    </row>
    <row r="144" spans="2:16">
      <c r="B144" s="9" t="str">
        <f t="shared" si="22"/>
        <v/>
      </c>
      <c r="C144" s="157">
        <f>IF(D93="","-",+C143+1)</f>
        <v>2052</v>
      </c>
      <c r="D144" s="158">
        <f>IF(F143+SUM(E$99:E143)=D$92,F143,D$92-SUM(E$99:E143))</f>
        <v>4716</v>
      </c>
      <c r="E144" s="165">
        <f>IF(+J96&lt;F143,J96,D144)</f>
        <v>1577</v>
      </c>
      <c r="F144" s="163">
        <f t="shared" si="25"/>
        <v>3139</v>
      </c>
      <c r="G144" s="163">
        <f t="shared" si="26"/>
        <v>3927.5</v>
      </c>
      <c r="H144" s="167">
        <f t="shared" si="27"/>
        <v>2075.2132781947685</v>
      </c>
      <c r="I144" s="317">
        <f t="shared" si="28"/>
        <v>2075.2132781947685</v>
      </c>
      <c r="J144" s="162">
        <f t="shared" si="29"/>
        <v>0</v>
      </c>
      <c r="K144" s="162"/>
      <c r="L144" s="335"/>
      <c r="M144" s="162">
        <f t="shared" si="30"/>
        <v>0</v>
      </c>
      <c r="N144" s="335"/>
      <c r="O144" s="162">
        <f t="shared" si="31"/>
        <v>0</v>
      </c>
      <c r="P144" s="162">
        <f t="shared" si="32"/>
        <v>0</v>
      </c>
    </row>
    <row r="145" spans="2:16">
      <c r="B145" s="9" t="str">
        <f t="shared" si="22"/>
        <v/>
      </c>
      <c r="C145" s="157">
        <f>IF(D93="","-",+C144+1)</f>
        <v>2053</v>
      </c>
      <c r="D145" s="158">
        <f>IF(F144+SUM(E$99:E144)=D$92,F144,D$92-SUM(E$99:E144))</f>
        <v>3139</v>
      </c>
      <c r="E145" s="165">
        <f>IF(+J96&lt;F144,J96,D145)</f>
        <v>1577</v>
      </c>
      <c r="F145" s="163">
        <f t="shared" si="25"/>
        <v>1562</v>
      </c>
      <c r="G145" s="163">
        <f t="shared" si="26"/>
        <v>2350.5</v>
      </c>
      <c r="H145" s="167">
        <f t="shared" si="27"/>
        <v>1875.1668517878556</v>
      </c>
      <c r="I145" s="317">
        <f t="shared" si="28"/>
        <v>1875.1668517878556</v>
      </c>
      <c r="J145" s="162">
        <f t="shared" si="29"/>
        <v>0</v>
      </c>
      <c r="K145" s="162"/>
      <c r="L145" s="335"/>
      <c r="M145" s="162">
        <f t="shared" si="30"/>
        <v>0</v>
      </c>
      <c r="N145" s="335"/>
      <c r="O145" s="162">
        <f t="shared" si="31"/>
        <v>0</v>
      </c>
      <c r="P145" s="162">
        <f t="shared" si="32"/>
        <v>0</v>
      </c>
    </row>
    <row r="146" spans="2:16">
      <c r="B146" s="9" t="str">
        <f t="shared" si="22"/>
        <v/>
      </c>
      <c r="C146" s="157">
        <f>IF(D93="","-",+C145+1)</f>
        <v>2054</v>
      </c>
      <c r="D146" s="158">
        <f>IF(F145+SUM(E$99:E145)=D$92,F145,D$92-SUM(E$99:E145))</f>
        <v>1562</v>
      </c>
      <c r="E146" s="165">
        <f>IF(+J96&lt;F145,J96,D146)</f>
        <v>1562</v>
      </c>
      <c r="F146" s="163">
        <f t="shared" si="25"/>
        <v>0</v>
      </c>
      <c r="G146" s="163">
        <f t="shared" si="26"/>
        <v>781</v>
      </c>
      <c r="H146" s="167">
        <f t="shared" si="27"/>
        <v>1661.0718192921997</v>
      </c>
      <c r="I146" s="317">
        <f t="shared" si="28"/>
        <v>1661.0718192921997</v>
      </c>
      <c r="J146" s="162">
        <f t="shared" si="29"/>
        <v>0</v>
      </c>
      <c r="K146" s="162"/>
      <c r="L146" s="335"/>
      <c r="M146" s="162">
        <f t="shared" si="30"/>
        <v>0</v>
      </c>
      <c r="N146" s="335"/>
      <c r="O146" s="162">
        <f t="shared" si="31"/>
        <v>0</v>
      </c>
      <c r="P146" s="162">
        <f t="shared" si="32"/>
        <v>0</v>
      </c>
    </row>
    <row r="147" spans="2:16">
      <c r="B147" s="9" t="str">
        <f t="shared" si="22"/>
        <v/>
      </c>
      <c r="C147" s="157">
        <f>IF(D93="","-",+C146+1)</f>
        <v>2055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5"/>
        <v>0</v>
      </c>
      <c r="G147" s="163">
        <f t="shared" si="26"/>
        <v>0</v>
      </c>
      <c r="H147" s="167">
        <f t="shared" si="27"/>
        <v>0</v>
      </c>
      <c r="I147" s="317">
        <f t="shared" si="28"/>
        <v>0</v>
      </c>
      <c r="J147" s="162">
        <f t="shared" si="29"/>
        <v>0</v>
      </c>
      <c r="K147" s="162"/>
      <c r="L147" s="335"/>
      <c r="M147" s="162">
        <f t="shared" si="30"/>
        <v>0</v>
      </c>
      <c r="N147" s="335"/>
      <c r="O147" s="162">
        <f t="shared" si="31"/>
        <v>0</v>
      </c>
      <c r="P147" s="162">
        <f t="shared" si="32"/>
        <v>0</v>
      </c>
    </row>
    <row r="148" spans="2:16">
      <c r="B148" s="9" t="str">
        <f t="shared" si="22"/>
        <v/>
      </c>
      <c r="C148" s="157">
        <f>IF(D93="","-",+C147+1)</f>
        <v>2056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5"/>
        <v>0</v>
      </c>
      <c r="G148" s="163">
        <f t="shared" si="26"/>
        <v>0</v>
      </c>
      <c r="H148" s="167">
        <f t="shared" si="27"/>
        <v>0</v>
      </c>
      <c r="I148" s="317">
        <f t="shared" si="28"/>
        <v>0</v>
      </c>
      <c r="J148" s="162">
        <f t="shared" si="29"/>
        <v>0</v>
      </c>
      <c r="K148" s="162"/>
      <c r="L148" s="335"/>
      <c r="M148" s="162">
        <f t="shared" si="30"/>
        <v>0</v>
      </c>
      <c r="N148" s="335"/>
      <c r="O148" s="162">
        <f t="shared" si="31"/>
        <v>0</v>
      </c>
      <c r="P148" s="162">
        <f t="shared" si="32"/>
        <v>0</v>
      </c>
    </row>
    <row r="149" spans="2:16">
      <c r="B149" s="9" t="str">
        <f t="shared" si="22"/>
        <v/>
      </c>
      <c r="C149" s="157">
        <f>IF(D93="","-",+C148+1)</f>
        <v>2057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5"/>
        <v>0</v>
      </c>
      <c r="G149" s="163">
        <f t="shared" si="26"/>
        <v>0</v>
      </c>
      <c r="H149" s="167">
        <f t="shared" si="27"/>
        <v>0</v>
      </c>
      <c r="I149" s="317">
        <f t="shared" si="28"/>
        <v>0</v>
      </c>
      <c r="J149" s="162">
        <f t="shared" si="29"/>
        <v>0</v>
      </c>
      <c r="K149" s="162"/>
      <c r="L149" s="335"/>
      <c r="M149" s="162">
        <f t="shared" si="30"/>
        <v>0</v>
      </c>
      <c r="N149" s="335"/>
      <c r="O149" s="162">
        <f t="shared" si="31"/>
        <v>0</v>
      </c>
      <c r="P149" s="162">
        <f t="shared" si="32"/>
        <v>0</v>
      </c>
    </row>
    <row r="150" spans="2:16">
      <c r="B150" s="9" t="str">
        <f t="shared" si="22"/>
        <v/>
      </c>
      <c r="C150" s="157">
        <f>IF(D93="","-",+C149+1)</f>
        <v>2058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5"/>
        <v>0</v>
      </c>
      <c r="G150" s="163">
        <f t="shared" si="26"/>
        <v>0</v>
      </c>
      <c r="H150" s="167">
        <f t="shared" si="27"/>
        <v>0</v>
      </c>
      <c r="I150" s="317">
        <f t="shared" si="28"/>
        <v>0</v>
      </c>
      <c r="J150" s="162">
        <f t="shared" si="29"/>
        <v>0</v>
      </c>
      <c r="K150" s="162"/>
      <c r="L150" s="335"/>
      <c r="M150" s="162">
        <f t="shared" si="30"/>
        <v>0</v>
      </c>
      <c r="N150" s="335"/>
      <c r="O150" s="162">
        <f t="shared" si="31"/>
        <v>0</v>
      </c>
      <c r="P150" s="162">
        <f t="shared" si="32"/>
        <v>0</v>
      </c>
    </row>
    <row r="151" spans="2:16">
      <c r="B151" s="9" t="str">
        <f t="shared" si="22"/>
        <v/>
      </c>
      <c r="C151" s="157">
        <f>IF(D93="","-",+C150+1)</f>
        <v>2059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5"/>
        <v>0</v>
      </c>
      <c r="G151" s="163">
        <f t="shared" si="26"/>
        <v>0</v>
      </c>
      <c r="H151" s="167">
        <f t="shared" si="27"/>
        <v>0</v>
      </c>
      <c r="I151" s="317">
        <f t="shared" si="28"/>
        <v>0</v>
      </c>
      <c r="J151" s="162">
        <f t="shared" si="29"/>
        <v>0</v>
      </c>
      <c r="K151" s="162"/>
      <c r="L151" s="335"/>
      <c r="M151" s="162">
        <f t="shared" si="30"/>
        <v>0</v>
      </c>
      <c r="N151" s="335"/>
      <c r="O151" s="162">
        <f t="shared" si="31"/>
        <v>0</v>
      </c>
      <c r="P151" s="162">
        <f t="shared" si="32"/>
        <v>0</v>
      </c>
    </row>
    <row r="152" spans="2:16">
      <c r="B152" s="9" t="str">
        <f t="shared" si="22"/>
        <v/>
      </c>
      <c r="C152" s="157">
        <f>IF(D93="","-",+C151+1)</f>
        <v>2060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5"/>
        <v>0</v>
      </c>
      <c r="G152" s="163">
        <f t="shared" si="26"/>
        <v>0</v>
      </c>
      <c r="H152" s="167">
        <f t="shared" si="27"/>
        <v>0</v>
      </c>
      <c r="I152" s="317">
        <f t="shared" si="28"/>
        <v>0</v>
      </c>
      <c r="J152" s="162">
        <f t="shared" si="29"/>
        <v>0</v>
      </c>
      <c r="K152" s="162"/>
      <c r="L152" s="335"/>
      <c r="M152" s="162">
        <f t="shared" si="30"/>
        <v>0</v>
      </c>
      <c r="N152" s="335"/>
      <c r="O152" s="162">
        <f t="shared" si="31"/>
        <v>0</v>
      </c>
      <c r="P152" s="162">
        <f t="shared" si="32"/>
        <v>0</v>
      </c>
    </row>
    <row r="153" spans="2:16">
      <c r="B153" s="9" t="str">
        <f t="shared" si="22"/>
        <v/>
      </c>
      <c r="C153" s="157">
        <f>IF(D93="","-",+C152+1)</f>
        <v>2061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5"/>
        <v>0</v>
      </c>
      <c r="G153" s="163">
        <f t="shared" si="26"/>
        <v>0</v>
      </c>
      <c r="H153" s="167">
        <f t="shared" si="27"/>
        <v>0</v>
      </c>
      <c r="I153" s="317">
        <f t="shared" si="28"/>
        <v>0</v>
      </c>
      <c r="J153" s="162">
        <f t="shared" si="29"/>
        <v>0</v>
      </c>
      <c r="K153" s="162"/>
      <c r="L153" s="335"/>
      <c r="M153" s="162">
        <f t="shared" si="30"/>
        <v>0</v>
      </c>
      <c r="N153" s="335"/>
      <c r="O153" s="162">
        <f t="shared" si="31"/>
        <v>0</v>
      </c>
      <c r="P153" s="162">
        <f t="shared" si="32"/>
        <v>0</v>
      </c>
    </row>
    <row r="154" spans="2:16" ht="13.5" thickBot="1">
      <c r="B154" s="9" t="str">
        <f t="shared" si="22"/>
        <v/>
      </c>
      <c r="C154" s="168">
        <f>IF(D93="","-",+C153+1)</f>
        <v>2062</v>
      </c>
      <c r="D154" s="169">
        <f>IF(F153+SUM(E$99:E153)=D$92,F153,D$92-SUM(E$99:E153))</f>
        <v>0</v>
      </c>
      <c r="E154" s="377">
        <f>IF(+J96&lt;F153,J96,D154)</f>
        <v>0</v>
      </c>
      <c r="F154" s="169">
        <f t="shared" si="25"/>
        <v>0</v>
      </c>
      <c r="G154" s="169">
        <f t="shared" si="26"/>
        <v>0</v>
      </c>
      <c r="H154" s="171">
        <f t="shared" si="27"/>
        <v>0</v>
      </c>
      <c r="I154" s="318">
        <f t="shared" si="28"/>
        <v>0</v>
      </c>
      <c r="J154" s="173">
        <f t="shared" si="29"/>
        <v>0</v>
      </c>
      <c r="K154" s="162"/>
      <c r="L154" s="336"/>
      <c r="M154" s="173">
        <f t="shared" si="30"/>
        <v>0</v>
      </c>
      <c r="N154" s="336"/>
      <c r="O154" s="173">
        <f t="shared" si="31"/>
        <v>0</v>
      </c>
      <c r="P154" s="173">
        <f t="shared" si="32"/>
        <v>0</v>
      </c>
    </row>
    <row r="155" spans="2:16">
      <c r="C155" s="158" t="s">
        <v>72</v>
      </c>
      <c r="D155" s="115"/>
      <c r="E155" s="115">
        <f>SUM(E99:E154)</f>
        <v>72551</v>
      </c>
      <c r="F155" s="115"/>
      <c r="G155" s="115"/>
      <c r="H155" s="115">
        <f>SUM(H99:H154)</f>
        <v>309151.95907143236</v>
      </c>
      <c r="I155" s="115">
        <f>SUM(I99:I154)</f>
        <v>309151.95907143236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2" priority="1" stopIfTrue="1" operator="equal">
      <formula>$I$10</formula>
    </cfRule>
  </conditionalFormatting>
  <conditionalFormatting sqref="C99:C154">
    <cfRule type="cellIs" dxfId="41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C00000"/>
  </sheetPr>
  <dimension ref="A1:P162"/>
  <sheetViews>
    <sheetView view="pageBreakPreview" zoomScale="75" zoomScaleNormal="10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10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11485.311097577385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11485.311097577385</v>
      </c>
      <c r="O6" s="1"/>
      <c r="P6" s="1"/>
    </row>
    <row r="7" spans="1:16" ht="13.5" thickBot="1">
      <c r="C7" s="127" t="s">
        <v>41</v>
      </c>
      <c r="D7" s="270" t="s">
        <v>248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212</v>
      </c>
      <c r="E9" s="428" t="s">
        <v>310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96566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2010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2414.15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2010</v>
      </c>
      <c r="D17" s="366">
        <v>135400</v>
      </c>
      <c r="E17" s="367">
        <v>1209</v>
      </c>
      <c r="F17" s="366">
        <v>134191</v>
      </c>
      <c r="G17" s="367">
        <v>20572</v>
      </c>
      <c r="H17" s="370">
        <v>20572</v>
      </c>
      <c r="I17" s="160">
        <f t="shared" ref="I17:I48" si="0">H17-G17</f>
        <v>0</v>
      </c>
      <c r="J17" s="160"/>
      <c r="K17" s="337">
        <f t="shared" ref="K17:K22" si="1">G17</f>
        <v>20572</v>
      </c>
      <c r="L17" s="161">
        <f t="shared" ref="L17:L48" si="2">IF(K17&lt;&gt;0,+G17-K17,0)</f>
        <v>0</v>
      </c>
      <c r="M17" s="337">
        <f t="shared" ref="M17:M22" si="3">H17</f>
        <v>20572</v>
      </c>
      <c r="N17" s="161">
        <f t="shared" ref="N17:N48" si="4">IF(M17&lt;&gt;0,+H17-M17,0)</f>
        <v>0</v>
      </c>
      <c r="O17" s="162">
        <f t="shared" ref="O17:O48" si="5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2011</v>
      </c>
      <c r="D18" s="371">
        <v>95357</v>
      </c>
      <c r="E18" s="368">
        <v>1893.4509803921569</v>
      </c>
      <c r="F18" s="371">
        <v>93463.549019607846</v>
      </c>
      <c r="G18" s="368">
        <v>16524.450980392157</v>
      </c>
      <c r="H18" s="370">
        <v>16524.450980392157</v>
      </c>
      <c r="I18" s="160">
        <f t="shared" si="0"/>
        <v>0</v>
      </c>
      <c r="J18" s="160"/>
      <c r="K18" s="338">
        <f t="shared" si="1"/>
        <v>16524.450980392157</v>
      </c>
      <c r="L18" s="272">
        <f t="shared" si="2"/>
        <v>0</v>
      </c>
      <c r="M18" s="338">
        <f t="shared" si="3"/>
        <v>16524.450980392157</v>
      </c>
      <c r="N18" s="162">
        <f t="shared" si="4"/>
        <v>0</v>
      </c>
      <c r="O18" s="162">
        <f t="shared" si="5"/>
        <v>0</v>
      </c>
      <c r="P18" s="4"/>
    </row>
    <row r="19" spans="2:16">
      <c r="B19" s="9" t="str">
        <f>IF(D19=F18,"","IU")</f>
        <v/>
      </c>
      <c r="C19" s="157">
        <f>IF(D11="","-",+C18+1)</f>
        <v>2012</v>
      </c>
      <c r="D19" s="371">
        <v>93463.549019607846</v>
      </c>
      <c r="E19" s="368">
        <v>1857.0384615384614</v>
      </c>
      <c r="F19" s="371">
        <v>91606.510558069378</v>
      </c>
      <c r="G19" s="368">
        <v>14609.038461538461</v>
      </c>
      <c r="H19" s="370">
        <v>14609.038461538461</v>
      </c>
      <c r="I19" s="160">
        <f t="shared" si="0"/>
        <v>0</v>
      </c>
      <c r="J19" s="160"/>
      <c r="K19" s="338">
        <f t="shared" si="1"/>
        <v>14609.038461538461</v>
      </c>
      <c r="L19" s="272">
        <f t="shared" si="2"/>
        <v>0</v>
      </c>
      <c r="M19" s="338">
        <f t="shared" si="3"/>
        <v>14609.038461538461</v>
      </c>
      <c r="N19" s="162">
        <f t="shared" si="4"/>
        <v>0</v>
      </c>
      <c r="O19" s="162">
        <f t="shared" si="5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2013</v>
      </c>
      <c r="D20" s="371">
        <v>91606.510558069378</v>
      </c>
      <c r="E20" s="368">
        <v>1857.0384615384614</v>
      </c>
      <c r="F20" s="371">
        <v>89749.47209653091</v>
      </c>
      <c r="G20" s="368">
        <v>14674.038461538461</v>
      </c>
      <c r="H20" s="370">
        <v>14674.038461538461</v>
      </c>
      <c r="I20" s="160">
        <v>0</v>
      </c>
      <c r="J20" s="160"/>
      <c r="K20" s="338">
        <f t="shared" si="1"/>
        <v>14674.038461538461</v>
      </c>
      <c r="L20" s="272">
        <f t="shared" ref="L20:L25" si="7">IF(K20&lt;&gt;0,+G20-K20,0)</f>
        <v>0</v>
      </c>
      <c r="M20" s="338">
        <f t="shared" si="3"/>
        <v>14674.038461538461</v>
      </c>
      <c r="N20" s="162">
        <f t="shared" ref="N20:N25" si="8">IF(M20&lt;&gt;0,+H20-M20,0)</f>
        <v>0</v>
      </c>
      <c r="O20" s="162">
        <f t="shared" ref="O20:O25" si="9">+N20-L20</f>
        <v>0</v>
      </c>
      <c r="P20" s="4"/>
    </row>
    <row r="21" spans="2:16">
      <c r="B21" s="9" t="str">
        <f t="shared" si="6"/>
        <v/>
      </c>
      <c r="C21" s="157">
        <f>IF(D11="","-",+C20+1)</f>
        <v>2014</v>
      </c>
      <c r="D21" s="371">
        <v>89749.47209653091</v>
      </c>
      <c r="E21" s="368">
        <v>1857.0384615384614</v>
      </c>
      <c r="F21" s="371">
        <v>87892.433634992442</v>
      </c>
      <c r="G21" s="368">
        <v>13956.038461538461</v>
      </c>
      <c r="H21" s="370">
        <v>13956.038461538461</v>
      </c>
      <c r="I21" s="160">
        <v>0</v>
      </c>
      <c r="J21" s="160"/>
      <c r="K21" s="338">
        <f t="shared" si="1"/>
        <v>13956.038461538461</v>
      </c>
      <c r="L21" s="272">
        <f t="shared" si="7"/>
        <v>0</v>
      </c>
      <c r="M21" s="338">
        <f t="shared" si="3"/>
        <v>13956.038461538461</v>
      </c>
      <c r="N21" s="162">
        <f t="shared" si="8"/>
        <v>0</v>
      </c>
      <c r="O21" s="162">
        <f t="shared" si="9"/>
        <v>0</v>
      </c>
      <c r="P21" s="4"/>
    </row>
    <row r="22" spans="2:16">
      <c r="B22" s="9" t="str">
        <f t="shared" si="6"/>
        <v/>
      </c>
      <c r="C22" s="157">
        <f>IF(D11="","-",+C21+1)</f>
        <v>2015</v>
      </c>
      <c r="D22" s="371">
        <v>87892.433634992442</v>
      </c>
      <c r="E22" s="368">
        <v>1857.0384615384614</v>
      </c>
      <c r="F22" s="371">
        <v>86035.395173453973</v>
      </c>
      <c r="G22" s="368">
        <v>13719.038461538461</v>
      </c>
      <c r="H22" s="370">
        <v>13719.038461538461</v>
      </c>
      <c r="I22" s="160">
        <v>0</v>
      </c>
      <c r="J22" s="160"/>
      <c r="K22" s="338">
        <f t="shared" si="1"/>
        <v>13719.038461538461</v>
      </c>
      <c r="L22" s="272">
        <f t="shared" si="7"/>
        <v>0</v>
      </c>
      <c r="M22" s="338">
        <f t="shared" si="3"/>
        <v>13719.038461538461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2016</v>
      </c>
      <c r="D23" s="371">
        <v>86035.395173453973</v>
      </c>
      <c r="E23" s="368">
        <v>1857.0384615384614</v>
      </c>
      <c r="F23" s="371">
        <v>84178.356711915505</v>
      </c>
      <c r="G23" s="368">
        <v>12898.038461538461</v>
      </c>
      <c r="H23" s="370">
        <v>12898.038461538461</v>
      </c>
      <c r="I23" s="160">
        <f t="shared" si="0"/>
        <v>0</v>
      </c>
      <c r="J23" s="160"/>
      <c r="K23" s="338">
        <f>G23</f>
        <v>12898.038461538461</v>
      </c>
      <c r="L23" s="272">
        <f t="shared" si="7"/>
        <v>0</v>
      </c>
      <c r="M23" s="338">
        <f>H23</f>
        <v>12898.038461538461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2017</v>
      </c>
      <c r="D24" s="371">
        <v>84178.356711915505</v>
      </c>
      <c r="E24" s="368">
        <v>2099.2608695652175</v>
      </c>
      <c r="F24" s="371">
        <v>82079.095842350289</v>
      </c>
      <c r="G24" s="368">
        <v>12544.260869565218</v>
      </c>
      <c r="H24" s="370">
        <v>12544.260869565218</v>
      </c>
      <c r="I24" s="160">
        <v>0</v>
      </c>
      <c r="J24" s="160"/>
      <c r="K24" s="338">
        <f>G24</f>
        <v>12544.260869565218</v>
      </c>
      <c r="L24" s="272">
        <f t="shared" si="7"/>
        <v>0</v>
      </c>
      <c r="M24" s="338">
        <f>H24</f>
        <v>12544.260869565218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2018</v>
      </c>
      <c r="D25" s="371">
        <v>82079.095842350289</v>
      </c>
      <c r="E25" s="368">
        <v>2145.911111111111</v>
      </c>
      <c r="F25" s="371">
        <v>79933.184731239176</v>
      </c>
      <c r="G25" s="368">
        <v>11847.120662682713</v>
      </c>
      <c r="H25" s="370">
        <v>11847.120662682713</v>
      </c>
      <c r="I25" s="160">
        <f t="shared" si="0"/>
        <v>0</v>
      </c>
      <c r="J25" s="160"/>
      <c r="K25" s="338">
        <f>G25</f>
        <v>11847.120662682713</v>
      </c>
      <c r="L25" s="272">
        <f t="shared" si="7"/>
        <v>0</v>
      </c>
      <c r="M25" s="338">
        <f>H25</f>
        <v>11847.120662682713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2019</v>
      </c>
      <c r="D26" s="163">
        <f>IF(F25+SUM(E$17:E25)=D$10,F25,D$10-SUM(E$17:E25))</f>
        <v>79933.184731239176</v>
      </c>
      <c r="E26" s="164">
        <f>IF(+I14&lt;F25,I14,D26)</f>
        <v>2414.15</v>
      </c>
      <c r="F26" s="163">
        <f t="shared" ref="F26:F48" si="10">+D26-E26</f>
        <v>77519.034731239182</v>
      </c>
      <c r="G26" s="165">
        <f t="shared" ref="G26:G72" si="11">(D26+F26)/2*I$12+E26</f>
        <v>11485.311097577385</v>
      </c>
      <c r="H26" s="147">
        <f t="shared" ref="H26:H72" si="12">+(D26+F26)/2*I$13+E26</f>
        <v>11485.311097577385</v>
      </c>
      <c r="I26" s="160">
        <f t="shared" si="0"/>
        <v>0</v>
      </c>
      <c r="J26" s="160"/>
      <c r="K26" s="335"/>
      <c r="L26" s="162">
        <f t="shared" si="2"/>
        <v>0</v>
      </c>
      <c r="M26" s="335"/>
      <c r="N26" s="162">
        <f t="shared" si="4"/>
        <v>0</v>
      </c>
      <c r="O26" s="162">
        <f t="shared" si="5"/>
        <v>0</v>
      </c>
      <c r="P26" s="4"/>
    </row>
    <row r="27" spans="2:16">
      <c r="B27" s="386" t="str">
        <f t="shared" si="6"/>
        <v/>
      </c>
      <c r="C27" s="157">
        <f>IF(D11="","-",+C26+1)</f>
        <v>2020</v>
      </c>
      <c r="D27" s="166">
        <f>IF(F26+SUM(E$17:E26)=D$10,F26,D$10-SUM(E$17:E26))</f>
        <v>77519.034731239182</v>
      </c>
      <c r="E27" s="164">
        <f>IF(+I14&lt;F26,I14,D27)</f>
        <v>2414.15</v>
      </c>
      <c r="F27" s="163">
        <f t="shared" si="10"/>
        <v>75104.884731239188</v>
      </c>
      <c r="G27" s="165">
        <f t="shared" si="11"/>
        <v>11207.142347229155</v>
      </c>
      <c r="H27" s="147">
        <f t="shared" si="12"/>
        <v>11207.142347229155</v>
      </c>
      <c r="I27" s="160">
        <f t="shared" si="0"/>
        <v>0</v>
      </c>
      <c r="J27" s="160"/>
      <c r="K27" s="335"/>
      <c r="L27" s="162">
        <f t="shared" si="2"/>
        <v>0</v>
      </c>
      <c r="M27" s="335"/>
      <c r="N27" s="162">
        <f t="shared" si="4"/>
        <v>0</v>
      </c>
      <c r="O27" s="162">
        <f t="shared" si="5"/>
        <v>0</v>
      </c>
      <c r="P27" s="4"/>
    </row>
    <row r="28" spans="2:16">
      <c r="B28" s="9" t="str">
        <f t="shared" si="6"/>
        <v/>
      </c>
      <c r="C28" s="157">
        <f>IF(D11="","-",+C27+1)</f>
        <v>2021</v>
      </c>
      <c r="D28" s="163">
        <f>IF(F27+SUM(E$17:E27)=D$10,F27,D$10-SUM(E$17:E27))</f>
        <v>75104.884731239188</v>
      </c>
      <c r="E28" s="164">
        <f>IF(+I14&lt;F27,I14,D28)</f>
        <v>2414.15</v>
      </c>
      <c r="F28" s="163">
        <f t="shared" si="10"/>
        <v>72690.734731239194</v>
      </c>
      <c r="G28" s="165">
        <f t="shared" si="11"/>
        <v>10928.973596880925</v>
      </c>
      <c r="H28" s="147">
        <f t="shared" si="12"/>
        <v>10928.973596880925</v>
      </c>
      <c r="I28" s="160">
        <f t="shared" si="0"/>
        <v>0</v>
      </c>
      <c r="J28" s="160"/>
      <c r="K28" s="335"/>
      <c r="L28" s="162">
        <f t="shared" si="2"/>
        <v>0</v>
      </c>
      <c r="M28" s="335"/>
      <c r="N28" s="162">
        <f t="shared" si="4"/>
        <v>0</v>
      </c>
      <c r="O28" s="162">
        <f t="shared" si="5"/>
        <v>0</v>
      </c>
      <c r="P28" s="4"/>
    </row>
    <row r="29" spans="2:16">
      <c r="B29" s="9" t="str">
        <f t="shared" si="6"/>
        <v/>
      </c>
      <c r="C29" s="157">
        <f>IF(D11="","-",+C28+1)</f>
        <v>2022</v>
      </c>
      <c r="D29" s="163">
        <f>IF(F28+SUM(E$17:E28)=D$10,F28,D$10-SUM(E$17:E28))</f>
        <v>72690.734731239194</v>
      </c>
      <c r="E29" s="164">
        <f>IF(+I14&lt;F28,I14,D29)</f>
        <v>2414.15</v>
      </c>
      <c r="F29" s="163">
        <f t="shared" si="10"/>
        <v>70276.5847312392</v>
      </c>
      <c r="G29" s="165">
        <f t="shared" si="11"/>
        <v>10650.804846532697</v>
      </c>
      <c r="H29" s="147">
        <f t="shared" si="12"/>
        <v>10650.804846532697</v>
      </c>
      <c r="I29" s="160">
        <f t="shared" si="0"/>
        <v>0</v>
      </c>
      <c r="J29" s="160"/>
      <c r="K29" s="335"/>
      <c r="L29" s="162">
        <f t="shared" si="2"/>
        <v>0</v>
      </c>
      <c r="M29" s="335"/>
      <c r="N29" s="162">
        <f t="shared" si="4"/>
        <v>0</v>
      </c>
      <c r="O29" s="162">
        <f t="shared" si="5"/>
        <v>0</v>
      </c>
      <c r="P29" s="4"/>
    </row>
    <row r="30" spans="2:16">
      <c r="B30" s="9" t="str">
        <f t="shared" si="6"/>
        <v/>
      </c>
      <c r="C30" s="157">
        <f>IF(D11="","-",+C29+1)</f>
        <v>2023</v>
      </c>
      <c r="D30" s="163">
        <f>IF(F29+SUM(E$17:E29)=D$10,F29,D$10-SUM(E$17:E29))</f>
        <v>70276.5847312392</v>
      </c>
      <c r="E30" s="164">
        <f>IF(+I14&lt;F29,I14,D30)</f>
        <v>2414.15</v>
      </c>
      <c r="F30" s="163">
        <f t="shared" si="10"/>
        <v>67862.434731239206</v>
      </c>
      <c r="G30" s="165">
        <f t="shared" si="11"/>
        <v>10372.636096184468</v>
      </c>
      <c r="H30" s="147">
        <f t="shared" si="12"/>
        <v>10372.636096184468</v>
      </c>
      <c r="I30" s="160">
        <f t="shared" si="0"/>
        <v>0</v>
      </c>
      <c r="J30" s="160"/>
      <c r="K30" s="335"/>
      <c r="L30" s="162">
        <f t="shared" si="2"/>
        <v>0</v>
      </c>
      <c r="M30" s="335"/>
      <c r="N30" s="162">
        <f t="shared" si="4"/>
        <v>0</v>
      </c>
      <c r="O30" s="162">
        <f t="shared" si="5"/>
        <v>0</v>
      </c>
      <c r="P30" s="4"/>
    </row>
    <row r="31" spans="2:16">
      <c r="B31" s="9" t="str">
        <f t="shared" si="6"/>
        <v/>
      </c>
      <c r="C31" s="157">
        <f>IF(D11="","-",+C30+1)</f>
        <v>2024</v>
      </c>
      <c r="D31" s="163">
        <f>IF(F30+SUM(E$17:E30)=D$10,F30,D$10-SUM(E$17:E30))</f>
        <v>67862.434731239206</v>
      </c>
      <c r="E31" s="164">
        <f>IF(+I14&lt;F30,I14,D31)</f>
        <v>2414.15</v>
      </c>
      <c r="F31" s="163">
        <f t="shared" si="10"/>
        <v>65448.284731239204</v>
      </c>
      <c r="G31" s="165">
        <f t="shared" si="11"/>
        <v>10094.467345836238</v>
      </c>
      <c r="H31" s="147">
        <f t="shared" si="12"/>
        <v>10094.467345836238</v>
      </c>
      <c r="I31" s="160">
        <f t="shared" si="0"/>
        <v>0</v>
      </c>
      <c r="J31" s="160"/>
      <c r="K31" s="335"/>
      <c r="L31" s="162">
        <f t="shared" si="2"/>
        <v>0</v>
      </c>
      <c r="M31" s="335"/>
      <c r="N31" s="162">
        <f t="shared" si="4"/>
        <v>0</v>
      </c>
      <c r="O31" s="162">
        <f t="shared" si="5"/>
        <v>0</v>
      </c>
      <c r="P31" s="4"/>
    </row>
    <row r="32" spans="2:16">
      <c r="B32" s="9" t="str">
        <f t="shared" si="6"/>
        <v/>
      </c>
      <c r="C32" s="157">
        <f>IF(D11="","-",+C31+1)</f>
        <v>2025</v>
      </c>
      <c r="D32" s="163">
        <f>IF(F31+SUM(E$17:E31)=D$10,F31,D$10-SUM(E$17:E31))</f>
        <v>65448.284731239204</v>
      </c>
      <c r="E32" s="164">
        <f>IF(+I14&lt;F31,I14,D32)</f>
        <v>2414.15</v>
      </c>
      <c r="F32" s="163">
        <f t="shared" si="10"/>
        <v>63034.134731239203</v>
      </c>
      <c r="G32" s="165">
        <f t="shared" si="11"/>
        <v>9816.2985954880078</v>
      </c>
      <c r="H32" s="147">
        <f t="shared" si="12"/>
        <v>9816.2985954880078</v>
      </c>
      <c r="I32" s="160">
        <f t="shared" si="0"/>
        <v>0</v>
      </c>
      <c r="J32" s="160"/>
      <c r="K32" s="335"/>
      <c r="L32" s="162">
        <f t="shared" si="2"/>
        <v>0</v>
      </c>
      <c r="M32" s="335"/>
      <c r="N32" s="162">
        <f t="shared" si="4"/>
        <v>0</v>
      </c>
      <c r="O32" s="162">
        <f t="shared" si="5"/>
        <v>0</v>
      </c>
      <c r="P32" s="4"/>
    </row>
    <row r="33" spans="2:16">
      <c r="B33" s="9" t="str">
        <f t="shared" si="6"/>
        <v/>
      </c>
      <c r="C33" s="157">
        <f>IF(D11="","-",+C32+1)</f>
        <v>2026</v>
      </c>
      <c r="D33" s="163">
        <f>IF(F32+SUM(E$17:E32)=D$10,F32,D$10-SUM(E$17:E32))</f>
        <v>63034.134731239203</v>
      </c>
      <c r="E33" s="164">
        <f>IF(+I14&lt;F32,I14,D33)</f>
        <v>2414.15</v>
      </c>
      <c r="F33" s="163">
        <f t="shared" si="10"/>
        <v>60619.984731239201</v>
      </c>
      <c r="G33" s="165">
        <f t="shared" si="11"/>
        <v>9538.1298451397779</v>
      </c>
      <c r="H33" s="147">
        <f t="shared" si="12"/>
        <v>9538.1298451397779</v>
      </c>
      <c r="I33" s="160">
        <f t="shared" si="0"/>
        <v>0</v>
      </c>
      <c r="J33" s="160"/>
      <c r="K33" s="335"/>
      <c r="L33" s="162">
        <f t="shared" si="2"/>
        <v>0</v>
      </c>
      <c r="M33" s="335"/>
      <c r="N33" s="162">
        <f t="shared" si="4"/>
        <v>0</v>
      </c>
      <c r="O33" s="162">
        <f t="shared" si="5"/>
        <v>0</v>
      </c>
      <c r="P33" s="4"/>
    </row>
    <row r="34" spans="2:16">
      <c r="B34" s="9" t="str">
        <f t="shared" si="6"/>
        <v/>
      </c>
      <c r="C34" s="157">
        <f>IF(D11="","-",+C33+1)</f>
        <v>2027</v>
      </c>
      <c r="D34" s="163">
        <f>IF(F33+SUM(E$17:E33)=D$10,F33,D$10-SUM(E$17:E33))</f>
        <v>60619.984731239201</v>
      </c>
      <c r="E34" s="164">
        <f>IF(+I14&lt;F33,I14,D34)</f>
        <v>2414.15</v>
      </c>
      <c r="F34" s="163">
        <f t="shared" si="10"/>
        <v>58205.8347312392</v>
      </c>
      <c r="G34" s="165">
        <f t="shared" si="11"/>
        <v>9259.9610947915462</v>
      </c>
      <c r="H34" s="147">
        <f t="shared" si="12"/>
        <v>9259.9610947915462</v>
      </c>
      <c r="I34" s="160">
        <f t="shared" si="0"/>
        <v>0</v>
      </c>
      <c r="J34" s="160"/>
      <c r="K34" s="335"/>
      <c r="L34" s="162">
        <f t="shared" si="2"/>
        <v>0</v>
      </c>
      <c r="M34" s="335"/>
      <c r="N34" s="162">
        <f t="shared" si="4"/>
        <v>0</v>
      </c>
      <c r="O34" s="162">
        <f t="shared" si="5"/>
        <v>0</v>
      </c>
      <c r="P34" s="4"/>
    </row>
    <row r="35" spans="2:16">
      <c r="B35" s="9" t="str">
        <f t="shared" si="6"/>
        <v/>
      </c>
      <c r="C35" s="157">
        <f>IF(D11="","-",+C34+1)</f>
        <v>2028</v>
      </c>
      <c r="D35" s="163">
        <f>IF(F34+SUM(E$17:E34)=D$10,F34,D$10-SUM(E$17:E34))</f>
        <v>58205.8347312392</v>
      </c>
      <c r="E35" s="164">
        <f>IF(+I14&lt;F34,I14,D35)</f>
        <v>2414.15</v>
      </c>
      <c r="F35" s="163">
        <f t="shared" si="10"/>
        <v>55791.684731239198</v>
      </c>
      <c r="G35" s="165">
        <f t="shared" si="11"/>
        <v>8981.7923444433163</v>
      </c>
      <c r="H35" s="147">
        <f t="shared" si="12"/>
        <v>8981.7923444433163</v>
      </c>
      <c r="I35" s="160">
        <f t="shared" si="0"/>
        <v>0</v>
      </c>
      <c r="J35" s="160"/>
      <c r="K35" s="335"/>
      <c r="L35" s="162">
        <f t="shared" si="2"/>
        <v>0</v>
      </c>
      <c r="M35" s="335"/>
      <c r="N35" s="162">
        <f t="shared" si="4"/>
        <v>0</v>
      </c>
      <c r="O35" s="162">
        <f t="shared" si="5"/>
        <v>0</v>
      </c>
      <c r="P35" s="4"/>
    </row>
    <row r="36" spans="2:16">
      <c r="B36" s="9" t="str">
        <f t="shared" si="6"/>
        <v/>
      </c>
      <c r="C36" s="157">
        <f>IF(D11="","-",+C35+1)</f>
        <v>2029</v>
      </c>
      <c r="D36" s="163">
        <f>IF(F35+SUM(E$17:E35)=D$10,F35,D$10-SUM(E$17:E35))</f>
        <v>55791.684731239198</v>
      </c>
      <c r="E36" s="164">
        <f>IF(+I14&lt;F35,I14,D36)</f>
        <v>2414.15</v>
      </c>
      <c r="F36" s="163">
        <f t="shared" si="10"/>
        <v>53377.534731239197</v>
      </c>
      <c r="G36" s="165">
        <f t="shared" si="11"/>
        <v>8703.6235940950864</v>
      </c>
      <c r="H36" s="147">
        <f t="shared" si="12"/>
        <v>8703.6235940950864</v>
      </c>
      <c r="I36" s="160">
        <f t="shared" si="0"/>
        <v>0</v>
      </c>
      <c r="J36" s="160"/>
      <c r="K36" s="335"/>
      <c r="L36" s="162">
        <f t="shared" si="2"/>
        <v>0</v>
      </c>
      <c r="M36" s="335"/>
      <c r="N36" s="162">
        <f t="shared" si="4"/>
        <v>0</v>
      </c>
      <c r="O36" s="162">
        <f t="shared" si="5"/>
        <v>0</v>
      </c>
      <c r="P36" s="4"/>
    </row>
    <row r="37" spans="2:16">
      <c r="B37" s="9" t="str">
        <f t="shared" si="6"/>
        <v/>
      </c>
      <c r="C37" s="157">
        <f>IF(D11="","-",+C36+1)</f>
        <v>2030</v>
      </c>
      <c r="D37" s="163">
        <f>IF(F36+SUM(E$17:E36)=D$10,F36,D$10-SUM(E$17:E36))</f>
        <v>53377.534731239197</v>
      </c>
      <c r="E37" s="164">
        <f>IF(+I14&lt;F36,I14,D37)</f>
        <v>2414.15</v>
      </c>
      <c r="F37" s="163">
        <f t="shared" si="10"/>
        <v>50963.384731239195</v>
      </c>
      <c r="G37" s="165">
        <f t="shared" si="11"/>
        <v>8425.4548437468566</v>
      </c>
      <c r="H37" s="147">
        <f t="shared" si="12"/>
        <v>8425.4548437468566</v>
      </c>
      <c r="I37" s="160">
        <f t="shared" si="0"/>
        <v>0</v>
      </c>
      <c r="J37" s="160"/>
      <c r="K37" s="335"/>
      <c r="L37" s="162">
        <f t="shared" si="2"/>
        <v>0</v>
      </c>
      <c r="M37" s="335"/>
      <c r="N37" s="162">
        <f t="shared" si="4"/>
        <v>0</v>
      </c>
      <c r="O37" s="162">
        <f t="shared" si="5"/>
        <v>0</v>
      </c>
      <c r="P37" s="4"/>
    </row>
    <row r="38" spans="2:16">
      <c r="B38" s="9" t="str">
        <f t="shared" si="6"/>
        <v/>
      </c>
      <c r="C38" s="157">
        <f>IF(D11="","-",+C37+1)</f>
        <v>2031</v>
      </c>
      <c r="D38" s="163">
        <f>IF(F37+SUM(E$17:E37)=D$10,F37,D$10-SUM(E$17:E37))</f>
        <v>50963.384731239195</v>
      </c>
      <c r="E38" s="164">
        <f>IF(+I14&lt;F37,I14,D38)</f>
        <v>2414.15</v>
      </c>
      <c r="F38" s="163">
        <f t="shared" si="10"/>
        <v>48549.234731239194</v>
      </c>
      <c r="G38" s="165">
        <f t="shared" si="11"/>
        <v>8147.2860933986249</v>
      </c>
      <c r="H38" s="147">
        <f t="shared" si="12"/>
        <v>8147.2860933986249</v>
      </c>
      <c r="I38" s="160">
        <f t="shared" si="0"/>
        <v>0</v>
      </c>
      <c r="J38" s="160"/>
      <c r="K38" s="335"/>
      <c r="L38" s="162">
        <f t="shared" si="2"/>
        <v>0</v>
      </c>
      <c r="M38" s="335"/>
      <c r="N38" s="162">
        <f t="shared" si="4"/>
        <v>0</v>
      </c>
      <c r="O38" s="162">
        <f t="shared" si="5"/>
        <v>0</v>
      </c>
      <c r="P38" s="4"/>
    </row>
    <row r="39" spans="2:16">
      <c r="B39" s="9" t="str">
        <f t="shared" si="6"/>
        <v/>
      </c>
      <c r="C39" s="157">
        <f>IF(D11="","-",+C38+1)</f>
        <v>2032</v>
      </c>
      <c r="D39" s="163">
        <f>IF(F38+SUM(E$17:E38)=D$10,F38,D$10-SUM(E$17:E38))</f>
        <v>48549.234731239194</v>
      </c>
      <c r="E39" s="164">
        <f>IF(+I14&lt;F38,I14,D39)</f>
        <v>2414.15</v>
      </c>
      <c r="F39" s="163">
        <f t="shared" si="10"/>
        <v>46135.084731239192</v>
      </c>
      <c r="G39" s="165">
        <f t="shared" si="11"/>
        <v>7869.117343050395</v>
      </c>
      <c r="H39" s="147">
        <f t="shared" si="12"/>
        <v>7869.117343050395</v>
      </c>
      <c r="I39" s="160">
        <f t="shared" si="0"/>
        <v>0</v>
      </c>
      <c r="J39" s="160"/>
      <c r="K39" s="335"/>
      <c r="L39" s="162">
        <f t="shared" si="2"/>
        <v>0</v>
      </c>
      <c r="M39" s="335"/>
      <c r="N39" s="162">
        <f t="shared" si="4"/>
        <v>0</v>
      </c>
      <c r="O39" s="162">
        <f t="shared" si="5"/>
        <v>0</v>
      </c>
      <c r="P39" s="4"/>
    </row>
    <row r="40" spans="2:16">
      <c r="B40" s="9" t="str">
        <f t="shared" si="6"/>
        <v/>
      </c>
      <c r="C40" s="157">
        <f>IF(D11="","-",+C39+1)</f>
        <v>2033</v>
      </c>
      <c r="D40" s="163">
        <f>IF(F39+SUM(E$17:E39)=D$10,F39,D$10-SUM(E$17:E39))</f>
        <v>46135.084731239192</v>
      </c>
      <c r="E40" s="164">
        <f>IF(+I14&lt;F39,I14,D40)</f>
        <v>2414.15</v>
      </c>
      <c r="F40" s="163">
        <f t="shared" si="10"/>
        <v>43720.934731239191</v>
      </c>
      <c r="G40" s="165">
        <f t="shared" si="11"/>
        <v>7590.9485927021651</v>
      </c>
      <c r="H40" s="147">
        <f t="shared" si="12"/>
        <v>7590.9485927021651</v>
      </c>
      <c r="I40" s="160">
        <f t="shared" si="0"/>
        <v>0</v>
      </c>
      <c r="J40" s="160"/>
      <c r="K40" s="335"/>
      <c r="L40" s="162">
        <f t="shared" si="2"/>
        <v>0</v>
      </c>
      <c r="M40" s="335"/>
      <c r="N40" s="162">
        <f t="shared" si="4"/>
        <v>0</v>
      </c>
      <c r="O40" s="162">
        <f t="shared" si="5"/>
        <v>0</v>
      </c>
      <c r="P40" s="4"/>
    </row>
    <row r="41" spans="2:16">
      <c r="B41" s="9" t="str">
        <f t="shared" si="6"/>
        <v/>
      </c>
      <c r="C41" s="157">
        <f>IF(D11="","-",+C40+1)</f>
        <v>2034</v>
      </c>
      <c r="D41" s="163">
        <f>IF(F40+SUM(E$17:E40)=D$10,F40,D$10-SUM(E$17:E40))</f>
        <v>43720.934731239191</v>
      </c>
      <c r="E41" s="164">
        <f>IF(+I14&lt;F40,I14,D41)</f>
        <v>2414.15</v>
      </c>
      <c r="F41" s="163">
        <f t="shared" si="10"/>
        <v>41306.78473123919</v>
      </c>
      <c r="G41" s="165">
        <f t="shared" si="11"/>
        <v>7312.7798423539352</v>
      </c>
      <c r="H41" s="147">
        <f t="shared" si="12"/>
        <v>7312.7798423539352</v>
      </c>
      <c r="I41" s="160">
        <f t="shared" si="0"/>
        <v>0</v>
      </c>
      <c r="J41" s="160"/>
      <c r="K41" s="335"/>
      <c r="L41" s="162">
        <f t="shared" si="2"/>
        <v>0</v>
      </c>
      <c r="M41" s="335"/>
      <c r="N41" s="162">
        <f t="shared" si="4"/>
        <v>0</v>
      </c>
      <c r="O41" s="162">
        <f t="shared" si="5"/>
        <v>0</v>
      </c>
      <c r="P41" s="4"/>
    </row>
    <row r="42" spans="2:16">
      <c r="B42" s="9" t="str">
        <f t="shared" si="6"/>
        <v/>
      </c>
      <c r="C42" s="157">
        <f>IF(D11="","-",+C41+1)</f>
        <v>2035</v>
      </c>
      <c r="D42" s="163">
        <f>IF(F41+SUM(E$17:E41)=D$10,F41,D$10-SUM(E$17:E41))</f>
        <v>41306.78473123919</v>
      </c>
      <c r="E42" s="164">
        <f>IF(+I14&lt;F41,I14,D42)</f>
        <v>2414.15</v>
      </c>
      <c r="F42" s="163">
        <f t="shared" si="10"/>
        <v>38892.634731239188</v>
      </c>
      <c r="G42" s="165">
        <f t="shared" si="11"/>
        <v>7034.6110920057035</v>
      </c>
      <c r="H42" s="147">
        <f t="shared" si="12"/>
        <v>7034.6110920057035</v>
      </c>
      <c r="I42" s="160">
        <f t="shared" si="0"/>
        <v>0</v>
      </c>
      <c r="J42" s="160"/>
      <c r="K42" s="335"/>
      <c r="L42" s="162">
        <f t="shared" si="2"/>
        <v>0</v>
      </c>
      <c r="M42" s="335"/>
      <c r="N42" s="162">
        <f t="shared" si="4"/>
        <v>0</v>
      </c>
      <c r="O42" s="162">
        <f t="shared" si="5"/>
        <v>0</v>
      </c>
      <c r="P42" s="4"/>
    </row>
    <row r="43" spans="2:16">
      <c r="B43" s="9" t="str">
        <f t="shared" si="6"/>
        <v/>
      </c>
      <c r="C43" s="157">
        <f>IF(D11="","-",+C42+1)</f>
        <v>2036</v>
      </c>
      <c r="D43" s="163">
        <f>IF(F42+SUM(E$17:E42)=D$10,F42,D$10-SUM(E$17:E42))</f>
        <v>38892.634731239188</v>
      </c>
      <c r="E43" s="164">
        <f>IF(+I14&lt;F42,I14,D43)</f>
        <v>2414.15</v>
      </c>
      <c r="F43" s="163">
        <f t="shared" si="10"/>
        <v>36478.484731239187</v>
      </c>
      <c r="G43" s="165">
        <f t="shared" si="11"/>
        <v>6756.4423416574737</v>
      </c>
      <c r="H43" s="147">
        <f t="shared" si="12"/>
        <v>6756.4423416574737</v>
      </c>
      <c r="I43" s="160">
        <f t="shared" si="0"/>
        <v>0</v>
      </c>
      <c r="J43" s="160"/>
      <c r="K43" s="335"/>
      <c r="L43" s="162">
        <f t="shared" si="2"/>
        <v>0</v>
      </c>
      <c r="M43" s="335"/>
      <c r="N43" s="162">
        <f t="shared" si="4"/>
        <v>0</v>
      </c>
      <c r="O43" s="162">
        <f t="shared" si="5"/>
        <v>0</v>
      </c>
      <c r="P43" s="4"/>
    </row>
    <row r="44" spans="2:16">
      <c r="B44" s="9" t="str">
        <f t="shared" si="6"/>
        <v/>
      </c>
      <c r="C44" s="157">
        <f>IF(D11="","-",+C43+1)</f>
        <v>2037</v>
      </c>
      <c r="D44" s="163">
        <f>IF(F43+SUM(E$17:E43)=D$10,F43,D$10-SUM(E$17:E43))</f>
        <v>36478.484731239187</v>
      </c>
      <c r="E44" s="164">
        <f>IF(+I14&lt;F43,I14,D44)</f>
        <v>2414.15</v>
      </c>
      <c r="F44" s="163">
        <f t="shared" si="10"/>
        <v>34064.334731239185</v>
      </c>
      <c r="G44" s="165">
        <f t="shared" si="11"/>
        <v>6478.2735913092429</v>
      </c>
      <c r="H44" s="147">
        <f t="shared" si="12"/>
        <v>6478.2735913092429</v>
      </c>
      <c r="I44" s="160">
        <f t="shared" si="0"/>
        <v>0</v>
      </c>
      <c r="J44" s="160"/>
      <c r="K44" s="335"/>
      <c r="L44" s="162">
        <f t="shared" si="2"/>
        <v>0</v>
      </c>
      <c r="M44" s="335"/>
      <c r="N44" s="162">
        <f t="shared" si="4"/>
        <v>0</v>
      </c>
      <c r="O44" s="162">
        <f t="shared" si="5"/>
        <v>0</v>
      </c>
      <c r="P44" s="4"/>
    </row>
    <row r="45" spans="2:16">
      <c r="B45" s="9" t="str">
        <f t="shared" si="6"/>
        <v/>
      </c>
      <c r="C45" s="157">
        <f>IF(D11="","-",+C44+1)</f>
        <v>2038</v>
      </c>
      <c r="D45" s="163">
        <f>IF(F44+SUM(E$17:E44)=D$10,F44,D$10-SUM(E$17:E44))</f>
        <v>34064.334731239185</v>
      </c>
      <c r="E45" s="164">
        <f>IF(+I14&lt;F44,I14,D45)</f>
        <v>2414.15</v>
      </c>
      <c r="F45" s="163">
        <f t="shared" si="10"/>
        <v>31650.184731239184</v>
      </c>
      <c r="G45" s="165">
        <f t="shared" si="11"/>
        <v>6200.1048409610139</v>
      </c>
      <c r="H45" s="147">
        <f t="shared" si="12"/>
        <v>6200.1048409610139</v>
      </c>
      <c r="I45" s="160">
        <f t="shared" si="0"/>
        <v>0</v>
      </c>
      <c r="J45" s="160"/>
      <c r="K45" s="335"/>
      <c r="L45" s="162">
        <f t="shared" si="2"/>
        <v>0</v>
      </c>
      <c r="M45" s="335"/>
      <c r="N45" s="162">
        <f t="shared" si="4"/>
        <v>0</v>
      </c>
      <c r="O45" s="162">
        <f t="shared" si="5"/>
        <v>0</v>
      </c>
      <c r="P45" s="4"/>
    </row>
    <row r="46" spans="2:16">
      <c r="B46" s="9" t="str">
        <f t="shared" si="6"/>
        <v/>
      </c>
      <c r="C46" s="157">
        <f>IF(D11="","-",+C45+1)</f>
        <v>2039</v>
      </c>
      <c r="D46" s="163">
        <f>IF(F45+SUM(E$17:E45)=D$10,F45,D$10-SUM(E$17:E45))</f>
        <v>31650.184731239184</v>
      </c>
      <c r="E46" s="164">
        <f>IF(+I14&lt;F45,I14,D46)</f>
        <v>2414.15</v>
      </c>
      <c r="F46" s="163">
        <f t="shared" si="10"/>
        <v>29236.034731239182</v>
      </c>
      <c r="G46" s="165">
        <f t="shared" si="11"/>
        <v>5921.9360906127822</v>
      </c>
      <c r="H46" s="147">
        <f t="shared" si="12"/>
        <v>5921.9360906127822</v>
      </c>
      <c r="I46" s="160">
        <f t="shared" si="0"/>
        <v>0</v>
      </c>
      <c r="J46" s="160"/>
      <c r="K46" s="335"/>
      <c r="L46" s="162">
        <f t="shared" si="2"/>
        <v>0</v>
      </c>
      <c r="M46" s="335"/>
      <c r="N46" s="162">
        <f t="shared" si="4"/>
        <v>0</v>
      </c>
      <c r="O46" s="162">
        <f t="shared" si="5"/>
        <v>0</v>
      </c>
      <c r="P46" s="4"/>
    </row>
    <row r="47" spans="2:16">
      <c r="B47" s="9" t="str">
        <f t="shared" si="6"/>
        <v/>
      </c>
      <c r="C47" s="157">
        <f>IF(D11="","-",+C46+1)</f>
        <v>2040</v>
      </c>
      <c r="D47" s="163">
        <f>IF(F46+SUM(E$17:E46)=D$10,F46,D$10-SUM(E$17:E46))</f>
        <v>29236.034731239182</v>
      </c>
      <c r="E47" s="164">
        <f>IF(+I14&lt;F46,I14,D47)</f>
        <v>2414.15</v>
      </c>
      <c r="F47" s="163">
        <f t="shared" si="10"/>
        <v>26821.884731239181</v>
      </c>
      <c r="G47" s="165">
        <f t="shared" si="11"/>
        <v>5643.7673402645523</v>
      </c>
      <c r="H47" s="147">
        <f t="shared" si="12"/>
        <v>5643.7673402645523</v>
      </c>
      <c r="I47" s="160">
        <f t="shared" si="0"/>
        <v>0</v>
      </c>
      <c r="J47" s="160"/>
      <c r="K47" s="335"/>
      <c r="L47" s="162">
        <f t="shared" si="2"/>
        <v>0</v>
      </c>
      <c r="M47" s="335"/>
      <c r="N47" s="162">
        <f t="shared" si="4"/>
        <v>0</v>
      </c>
      <c r="O47" s="162">
        <f t="shared" si="5"/>
        <v>0</v>
      </c>
      <c r="P47" s="4"/>
    </row>
    <row r="48" spans="2:16">
      <c r="B48" s="9" t="str">
        <f t="shared" si="6"/>
        <v/>
      </c>
      <c r="C48" s="157">
        <f>IF(D11="","-",+C47+1)</f>
        <v>2041</v>
      </c>
      <c r="D48" s="163">
        <f>IF(F47+SUM(E$17:E47)=D$10,F47,D$10-SUM(E$17:E47))</f>
        <v>26821.884731239181</v>
      </c>
      <c r="E48" s="164">
        <f>IF(+I14&lt;F47,I14,D48)</f>
        <v>2414.15</v>
      </c>
      <c r="F48" s="163">
        <f t="shared" si="10"/>
        <v>24407.734731239179</v>
      </c>
      <c r="G48" s="165">
        <f t="shared" si="11"/>
        <v>5365.5985899163225</v>
      </c>
      <c r="H48" s="147">
        <f t="shared" si="12"/>
        <v>5365.5985899163225</v>
      </c>
      <c r="I48" s="160">
        <f t="shared" si="0"/>
        <v>0</v>
      </c>
      <c r="J48" s="160"/>
      <c r="K48" s="335"/>
      <c r="L48" s="162">
        <f t="shared" si="2"/>
        <v>0</v>
      </c>
      <c r="M48" s="335"/>
      <c r="N48" s="162">
        <f t="shared" si="4"/>
        <v>0</v>
      </c>
      <c r="O48" s="162">
        <f t="shared" si="5"/>
        <v>0</v>
      </c>
      <c r="P48" s="4"/>
    </row>
    <row r="49" spans="2:16">
      <c r="B49" s="9" t="str">
        <f t="shared" si="6"/>
        <v/>
      </c>
      <c r="C49" s="157">
        <f>IF(D11="","-",+C48+1)</f>
        <v>2042</v>
      </c>
      <c r="D49" s="163">
        <f>IF(F48+SUM(E$17:E48)=D$10,F48,D$10-SUM(E$17:E48))</f>
        <v>24407.734731239179</v>
      </c>
      <c r="E49" s="164">
        <f>IF(+I14&lt;F48,I14,D49)</f>
        <v>2414.15</v>
      </c>
      <c r="F49" s="163">
        <f t="shared" ref="F49:F72" si="13">+D49-E49</f>
        <v>21993.584731239178</v>
      </c>
      <c r="G49" s="165">
        <f t="shared" si="11"/>
        <v>5087.4298395680917</v>
      </c>
      <c r="H49" s="147">
        <f t="shared" si="12"/>
        <v>5087.4298395680917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6"/>
        <v/>
      </c>
      <c r="C50" s="157">
        <f>IF(D11="","-",+C49+1)</f>
        <v>2043</v>
      </c>
      <c r="D50" s="163">
        <f>IF(F49+SUM(E$17:E49)=D$10,F49,D$10-SUM(E$17:E49))</f>
        <v>21993.584731239178</v>
      </c>
      <c r="E50" s="164">
        <f>IF(+I14&lt;F49,I14,D50)</f>
        <v>2414.15</v>
      </c>
      <c r="F50" s="163">
        <f t="shared" si="13"/>
        <v>19579.434731239176</v>
      </c>
      <c r="G50" s="165">
        <f t="shared" si="11"/>
        <v>4809.2610892198609</v>
      </c>
      <c r="H50" s="147">
        <f t="shared" si="12"/>
        <v>4809.2610892198609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6"/>
        <v/>
      </c>
      <c r="C51" s="157">
        <f>IF(D11="","-",+C50+1)</f>
        <v>2044</v>
      </c>
      <c r="D51" s="163">
        <f>IF(F50+SUM(E$17:E50)=D$10,F50,D$10-SUM(E$17:E50))</f>
        <v>19579.434731239176</v>
      </c>
      <c r="E51" s="164">
        <f>IF(+I14&lt;F50,I14,D51)</f>
        <v>2414.15</v>
      </c>
      <c r="F51" s="163">
        <f t="shared" si="13"/>
        <v>17165.284731239175</v>
      </c>
      <c r="G51" s="165">
        <f t="shared" si="11"/>
        <v>4531.092338871631</v>
      </c>
      <c r="H51" s="147">
        <f t="shared" si="12"/>
        <v>4531.092338871631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6"/>
        <v/>
      </c>
      <c r="C52" s="157">
        <f>IF(D11="","-",+C51+1)</f>
        <v>2045</v>
      </c>
      <c r="D52" s="163">
        <f>IF(F51+SUM(E$17:E51)=D$10,F51,D$10-SUM(E$17:E51))</f>
        <v>17165.284731239175</v>
      </c>
      <c r="E52" s="164">
        <f>IF(+I14&lt;F51,I14,D52)</f>
        <v>2414.15</v>
      </c>
      <c r="F52" s="163">
        <f t="shared" si="13"/>
        <v>14751.134731239175</v>
      </c>
      <c r="G52" s="165">
        <f t="shared" si="11"/>
        <v>4252.9235885234011</v>
      </c>
      <c r="H52" s="147">
        <f t="shared" si="12"/>
        <v>4252.9235885234011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6"/>
        <v/>
      </c>
      <c r="C53" s="157">
        <f>IF(D11="","-",+C52+1)</f>
        <v>2046</v>
      </c>
      <c r="D53" s="163">
        <f>IF(F52+SUM(E$17:E52)=D$10,F52,D$10-SUM(E$17:E52))</f>
        <v>14751.134731239175</v>
      </c>
      <c r="E53" s="164">
        <f>IF(+I14&lt;F52,I14,D53)</f>
        <v>2414.15</v>
      </c>
      <c r="F53" s="163">
        <f t="shared" si="13"/>
        <v>12336.984731239176</v>
      </c>
      <c r="G53" s="165">
        <f t="shared" si="11"/>
        <v>3974.7548381751703</v>
      </c>
      <c r="H53" s="147">
        <f t="shared" si="12"/>
        <v>3974.7548381751703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6"/>
        <v/>
      </c>
      <c r="C54" s="157">
        <f>IF(D11="","-",+C53+1)</f>
        <v>2047</v>
      </c>
      <c r="D54" s="163">
        <f>IF(F53+SUM(E$17:E53)=D$10,F53,D$10-SUM(E$17:E53))</f>
        <v>12336.984731239176</v>
      </c>
      <c r="E54" s="164">
        <f>IF(+I14&lt;F53,I14,D54)</f>
        <v>2414.15</v>
      </c>
      <c r="F54" s="163">
        <f t="shared" si="13"/>
        <v>9922.8347312391761</v>
      </c>
      <c r="G54" s="165">
        <f t="shared" si="11"/>
        <v>3696.5860878269405</v>
      </c>
      <c r="H54" s="147">
        <f t="shared" si="12"/>
        <v>3696.5860878269405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6"/>
        <v>IU</v>
      </c>
      <c r="C55" s="157">
        <f>IF(D11="","-",+C54+1)</f>
        <v>2048</v>
      </c>
      <c r="D55" s="163">
        <f>IF(F54+SUM(E$17:E54)=D$10,F54,D$10-SUM(E$17:E54))</f>
        <v>9922.8347312392289</v>
      </c>
      <c r="E55" s="164">
        <f>IF(+I14&lt;F54,I14,D55)</f>
        <v>2414.15</v>
      </c>
      <c r="F55" s="163">
        <f t="shared" si="13"/>
        <v>7508.6847312392292</v>
      </c>
      <c r="G55" s="165">
        <f t="shared" si="11"/>
        <v>3418.417337478716</v>
      </c>
      <c r="H55" s="147">
        <f t="shared" si="12"/>
        <v>3418.417337478716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6"/>
        <v/>
      </c>
      <c r="C56" s="157">
        <f>IF(D11="","-",+C55+1)</f>
        <v>2049</v>
      </c>
      <c r="D56" s="163">
        <f>IF(F55+SUM(E$17:E55)=D$10,F55,D$10-SUM(E$17:E55))</f>
        <v>7508.6847312392292</v>
      </c>
      <c r="E56" s="164">
        <f>IF(+I14&lt;F55,I14,D56)</f>
        <v>2414.15</v>
      </c>
      <c r="F56" s="163">
        <f t="shared" si="13"/>
        <v>5094.5347312392296</v>
      </c>
      <c r="G56" s="165">
        <f t="shared" si="11"/>
        <v>3140.2485871304862</v>
      </c>
      <c r="H56" s="147">
        <f t="shared" si="12"/>
        <v>3140.2485871304862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6"/>
        <v/>
      </c>
      <c r="C57" s="157">
        <f>IF(D11="","-",+C56+1)</f>
        <v>2050</v>
      </c>
      <c r="D57" s="163">
        <f>IF(F56+SUM(E$17:E56)=D$10,F56,D$10-SUM(E$17:E56))</f>
        <v>5094.5347312392296</v>
      </c>
      <c r="E57" s="164">
        <f>IF(+I14&lt;F56,I14,D57)</f>
        <v>2414.15</v>
      </c>
      <c r="F57" s="163">
        <f t="shared" si="13"/>
        <v>2680.3847312392295</v>
      </c>
      <c r="G57" s="165">
        <f t="shared" si="11"/>
        <v>2862.0798367822563</v>
      </c>
      <c r="H57" s="147">
        <f t="shared" si="12"/>
        <v>2862.0798367822563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6"/>
        <v/>
      </c>
      <c r="C58" s="157">
        <f>IF(D11="","-",+C57+1)</f>
        <v>2051</v>
      </c>
      <c r="D58" s="163">
        <f>IF(F57+SUM(E$17:E57)=D$10,F57,D$10-SUM(E$17:E57))</f>
        <v>2680.3847312392295</v>
      </c>
      <c r="E58" s="164">
        <f>IF(+I14&lt;F57,I14,D58)</f>
        <v>2414.15</v>
      </c>
      <c r="F58" s="163">
        <f t="shared" si="13"/>
        <v>266.2347312392294</v>
      </c>
      <c r="G58" s="165">
        <f t="shared" si="11"/>
        <v>2583.9110864340259</v>
      </c>
      <c r="H58" s="147">
        <f t="shared" si="12"/>
        <v>2583.9110864340259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6"/>
        <v/>
      </c>
      <c r="C59" s="157">
        <f>IF(D11="","-",+C58+1)</f>
        <v>2052</v>
      </c>
      <c r="D59" s="163">
        <f>IF(F58+SUM(E$17:E58)=D$10,F58,D$10-SUM(E$17:E58))</f>
        <v>266.2347312392294</v>
      </c>
      <c r="E59" s="164">
        <f>IF(+I14&lt;F58,I14,D59)</f>
        <v>266.2347312392294</v>
      </c>
      <c r="F59" s="163">
        <f t="shared" si="13"/>
        <v>0</v>
      </c>
      <c r="G59" s="165">
        <f t="shared" si="11"/>
        <v>281.57308686918475</v>
      </c>
      <c r="H59" s="147">
        <f t="shared" si="12"/>
        <v>281.57308686918475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6"/>
        <v/>
      </c>
      <c r="C60" s="157">
        <f>IF(D11="","-",+C59+1)</f>
        <v>2053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3"/>
        <v>0</v>
      </c>
      <c r="G60" s="165">
        <f t="shared" si="11"/>
        <v>0</v>
      </c>
      <c r="H60" s="147">
        <f t="shared" si="12"/>
        <v>0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6"/>
        <v/>
      </c>
      <c r="C61" s="157">
        <f>IF(D11="","-",+C60+1)</f>
        <v>2054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6"/>
        <v/>
      </c>
      <c r="C62" s="157">
        <f>IF(D11="","-",+C61+1)</f>
        <v>2055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6"/>
        <v/>
      </c>
      <c r="C63" s="157">
        <f>IF(D11="","-",+C62+1)</f>
        <v>2056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6"/>
        <v/>
      </c>
      <c r="C64" s="157">
        <f>IF(D11="","-",+C63+1)</f>
        <v>2057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387" t="str">
        <f t="shared" si="6"/>
        <v/>
      </c>
      <c r="C65" s="157">
        <f>IF(D11="","-",+C64+1)</f>
        <v>2058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6"/>
        <v/>
      </c>
      <c r="C66" s="157">
        <f>IF(D11="","-",+C65+1)</f>
        <v>2059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6"/>
        <v/>
      </c>
      <c r="C67" s="157">
        <f>IF(D11="","-",+C66+1)</f>
        <v>2060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6"/>
        <v/>
      </c>
      <c r="C68" s="157">
        <f>IF(D11="","-",+C67+1)</f>
        <v>2061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6"/>
        <v/>
      </c>
      <c r="C69" s="157">
        <f>IF(D11="","-",+C68+1)</f>
        <v>2062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6"/>
        <v/>
      </c>
      <c r="C70" s="157">
        <f>IF(D11="","-",+C69+1)</f>
        <v>2063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6"/>
        <v/>
      </c>
      <c r="C71" s="157">
        <f>IF(D11="","-",+C70+1)</f>
        <v>2064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2065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96565.999999999971</v>
      </c>
      <c r="F73" s="115"/>
      <c r="G73" s="115">
        <f>SUM(G17:G72)</f>
        <v>363767.76394338993</v>
      </c>
      <c r="H73" s="115">
        <f>SUM(H17:H72)</f>
        <v>363767.76394338993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10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12544.260869565218</v>
      </c>
      <c r="N87" s="202">
        <f>IF(J92&lt;D11,0,VLOOKUP(J92,C17:O72,11))</f>
        <v>12544.260869565218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12651.353853573521</v>
      </c>
      <c r="N88" s="204">
        <f>IF(J92&lt;D11,0,VLOOKUP(J92,C99:P154,7))</f>
        <v>12651.353853573521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Wavetrap Clinton City-Foss Tap 69kV Ckt 1*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107.09298400830266</v>
      </c>
      <c r="N89" s="207">
        <f>+N88-N87</f>
        <v>107.09298400830266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TP2009011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96566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2010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2099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2010</v>
      </c>
      <c r="D99" s="366">
        <v>0</v>
      </c>
      <c r="E99" s="368">
        <v>946.5</v>
      </c>
      <c r="F99" s="371">
        <v>95619.5</v>
      </c>
      <c r="G99" s="373">
        <v>47809.75</v>
      </c>
      <c r="H99" s="374">
        <v>8635.0355480484341</v>
      </c>
      <c r="I99" s="375">
        <v>8635.0355480484341</v>
      </c>
      <c r="J99" s="162">
        <f t="shared" ref="J99:J130" si="18">+I99-H99</f>
        <v>0</v>
      </c>
      <c r="K99" s="162"/>
      <c r="L99" s="384">
        <f t="shared" ref="L99:L104" si="19">H99</f>
        <v>8635.0355480484341</v>
      </c>
      <c r="M99" s="385">
        <f t="shared" ref="M99:M130" si="20">IF(L99&lt;&gt;0,+H99-L99,0)</f>
        <v>0</v>
      </c>
      <c r="N99" s="384">
        <f t="shared" ref="N99:N104" si="21">I99</f>
        <v>8635.0355480484341</v>
      </c>
      <c r="O99" s="161">
        <f t="shared" ref="O99:O130" si="22">IF(N99&lt;&gt;0,+I99-N99,0)</f>
        <v>0</v>
      </c>
      <c r="P99" s="161">
        <f t="shared" ref="P99:P130" si="23">+O99-M99</f>
        <v>0</v>
      </c>
    </row>
    <row r="100" spans="1:16">
      <c r="B100" s="9" t="str">
        <f>IF(D100=F99,"","IU")</f>
        <v/>
      </c>
      <c r="C100" s="157">
        <f>IF(D93="","-",+C99+1)</f>
        <v>2011</v>
      </c>
      <c r="D100" s="366">
        <v>95619.5</v>
      </c>
      <c r="E100" s="368">
        <v>1857</v>
      </c>
      <c r="F100" s="371">
        <v>93762.5</v>
      </c>
      <c r="G100" s="371">
        <v>94691</v>
      </c>
      <c r="H100" s="368">
        <v>15096.07425133265</v>
      </c>
      <c r="I100" s="370">
        <v>15096.07425133265</v>
      </c>
      <c r="J100" s="162">
        <f t="shared" si="18"/>
        <v>0</v>
      </c>
      <c r="K100" s="162"/>
      <c r="L100" s="380">
        <f t="shared" si="19"/>
        <v>15096.07425133265</v>
      </c>
      <c r="M100" s="381">
        <f t="shared" si="20"/>
        <v>0</v>
      </c>
      <c r="N100" s="380">
        <f t="shared" si="21"/>
        <v>15096.07425133265</v>
      </c>
      <c r="O100" s="162">
        <f t="shared" si="22"/>
        <v>0</v>
      </c>
      <c r="P100" s="162">
        <f t="shared" si="23"/>
        <v>0</v>
      </c>
    </row>
    <row r="101" spans="1:16">
      <c r="B101" s="9" t="str">
        <f t="shared" ref="B101:B154" si="24">IF(D101=F100,"","IU")</f>
        <v/>
      </c>
      <c r="C101" s="157">
        <f>IF(D93="","-",+C100+1)</f>
        <v>2012</v>
      </c>
      <c r="D101" s="366">
        <v>93762.5</v>
      </c>
      <c r="E101" s="368">
        <v>1857</v>
      </c>
      <c r="F101" s="371">
        <v>91905.5</v>
      </c>
      <c r="G101" s="371">
        <v>92834</v>
      </c>
      <c r="H101" s="368">
        <v>15211.679797187964</v>
      </c>
      <c r="I101" s="370">
        <v>15211.679797187964</v>
      </c>
      <c r="J101" s="162">
        <v>0</v>
      </c>
      <c r="K101" s="162"/>
      <c r="L101" s="380">
        <f t="shared" si="19"/>
        <v>15211.679797187964</v>
      </c>
      <c r="M101" s="381">
        <f>IF(L101&lt;&gt;0,+H101-L101,0)</f>
        <v>0</v>
      </c>
      <c r="N101" s="380">
        <f t="shared" si="21"/>
        <v>15211.679797187964</v>
      </c>
      <c r="O101" s="162">
        <f>IF(N101&lt;&gt;0,+I101-N101,0)</f>
        <v>0</v>
      </c>
      <c r="P101" s="162">
        <f>+O101-M101</f>
        <v>0</v>
      </c>
    </row>
    <row r="102" spans="1:16">
      <c r="B102" s="9" t="str">
        <f t="shared" si="24"/>
        <v/>
      </c>
      <c r="C102" s="157">
        <f>IF(D93="","-",+C101+1)</f>
        <v>2013</v>
      </c>
      <c r="D102" s="366">
        <v>91905.5</v>
      </c>
      <c r="E102" s="368">
        <v>1857</v>
      </c>
      <c r="F102" s="371">
        <v>90048.5</v>
      </c>
      <c r="G102" s="371">
        <v>90977</v>
      </c>
      <c r="H102" s="368">
        <v>14952.192437840908</v>
      </c>
      <c r="I102" s="370">
        <v>14952.192437840908</v>
      </c>
      <c r="J102" s="162">
        <v>0</v>
      </c>
      <c r="K102" s="162"/>
      <c r="L102" s="380">
        <f t="shared" si="19"/>
        <v>14952.192437840908</v>
      </c>
      <c r="M102" s="381">
        <f>IF(L102&lt;&gt;0,+H102-L102,0)</f>
        <v>0</v>
      </c>
      <c r="N102" s="380">
        <f t="shared" si="21"/>
        <v>14952.192437840908</v>
      </c>
      <c r="O102" s="162">
        <f>IF(N102&lt;&gt;0,+I102-N102,0)</f>
        <v>0</v>
      </c>
      <c r="P102" s="162">
        <f>+O102-M102</f>
        <v>0</v>
      </c>
    </row>
    <row r="103" spans="1:16">
      <c r="B103" s="9" t="str">
        <f t="shared" si="24"/>
        <v/>
      </c>
      <c r="C103" s="157">
        <f>IF(D93="","-",+C102+1)</f>
        <v>2014</v>
      </c>
      <c r="D103" s="366">
        <v>90048.5</v>
      </c>
      <c r="E103" s="368">
        <v>1857</v>
      </c>
      <c r="F103" s="371">
        <v>88191.5</v>
      </c>
      <c r="G103" s="371">
        <v>89120</v>
      </c>
      <c r="H103" s="368">
        <v>14386.907699066522</v>
      </c>
      <c r="I103" s="370">
        <v>14386.907699066522</v>
      </c>
      <c r="J103" s="162">
        <v>0</v>
      </c>
      <c r="K103" s="162"/>
      <c r="L103" s="380">
        <f t="shared" si="19"/>
        <v>14386.907699066522</v>
      </c>
      <c r="M103" s="381">
        <f>IF(L103&lt;&gt;0,+H103-L103,0)</f>
        <v>0</v>
      </c>
      <c r="N103" s="380">
        <f t="shared" si="21"/>
        <v>14386.907699066522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4"/>
        <v/>
      </c>
      <c r="C104" s="157">
        <f>IF(D93="","-",+C103+1)</f>
        <v>2015</v>
      </c>
      <c r="D104" s="366">
        <v>88191.5</v>
      </c>
      <c r="E104" s="368">
        <v>1857</v>
      </c>
      <c r="F104" s="371">
        <v>86334.5</v>
      </c>
      <c r="G104" s="371">
        <v>87263</v>
      </c>
      <c r="H104" s="368">
        <v>13763.334720904193</v>
      </c>
      <c r="I104" s="370">
        <v>13763.334720904193</v>
      </c>
      <c r="J104" s="162">
        <f t="shared" si="18"/>
        <v>0</v>
      </c>
      <c r="K104" s="162"/>
      <c r="L104" s="380">
        <f t="shared" si="19"/>
        <v>13763.334720904193</v>
      </c>
      <c r="M104" s="381">
        <f>IF(L104&lt;&gt;0,+H104-L104,0)</f>
        <v>0</v>
      </c>
      <c r="N104" s="380">
        <f t="shared" si="21"/>
        <v>13763.334720904193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4"/>
        <v/>
      </c>
      <c r="C105" s="157">
        <f>IF(D93="","-",+C104+1)</f>
        <v>2016</v>
      </c>
      <c r="D105" s="366">
        <v>86334.5</v>
      </c>
      <c r="E105" s="368">
        <v>2099</v>
      </c>
      <c r="F105" s="371">
        <v>84235.5</v>
      </c>
      <c r="G105" s="371">
        <v>85285</v>
      </c>
      <c r="H105" s="368">
        <v>13093.579642748955</v>
      </c>
      <c r="I105" s="370">
        <v>13093.579642748955</v>
      </c>
      <c r="J105" s="162">
        <v>0</v>
      </c>
      <c r="K105" s="162"/>
      <c r="L105" s="380">
        <f>H105</f>
        <v>13093.579642748955</v>
      </c>
      <c r="M105" s="381">
        <f>IF(L105&lt;&gt;0,+H105-L105,0)</f>
        <v>0</v>
      </c>
      <c r="N105" s="380">
        <f>I105</f>
        <v>13093.579642748955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4"/>
        <v/>
      </c>
      <c r="C106" s="157">
        <f>IF(D93="","-",+C105+1)</f>
        <v>2017</v>
      </c>
      <c r="D106" s="158">
        <f>IF(F105+SUM(E$99:E105)=D$92,F105,D$92-SUM(E$99:E105))</f>
        <v>84235.5</v>
      </c>
      <c r="E106" s="164">
        <f>IF(+J96&lt;F105,J96,D106)</f>
        <v>2099</v>
      </c>
      <c r="F106" s="163">
        <f t="shared" ref="F106:F129" si="25">+D106-E106</f>
        <v>82136.5</v>
      </c>
      <c r="G106" s="163">
        <f t="shared" ref="G106:G129" si="26">+(F106+D106)/2</f>
        <v>83186</v>
      </c>
      <c r="H106" s="167">
        <f t="shared" ref="H106:H130" si="27">+J$94*G106+E106</f>
        <v>12651.353853573521</v>
      </c>
      <c r="I106" s="317">
        <f t="shared" ref="I106:I130" si="28">+J$95*G106+E106</f>
        <v>12651.353853573521</v>
      </c>
      <c r="J106" s="162">
        <f t="shared" si="18"/>
        <v>0</v>
      </c>
      <c r="K106" s="162"/>
      <c r="L106" s="335"/>
      <c r="M106" s="162">
        <f t="shared" si="20"/>
        <v>0</v>
      </c>
      <c r="N106" s="335"/>
      <c r="O106" s="162">
        <f t="shared" si="22"/>
        <v>0</v>
      </c>
      <c r="P106" s="162">
        <f t="shared" si="23"/>
        <v>0</v>
      </c>
    </row>
    <row r="107" spans="1:16">
      <c r="B107" s="9" t="str">
        <f t="shared" si="24"/>
        <v/>
      </c>
      <c r="C107" s="157">
        <f>IF(D93="","-",+C106+1)</f>
        <v>2018</v>
      </c>
      <c r="D107" s="158">
        <f>IF(F106+SUM(E$99:E106)=D$92,F106,D$92-SUM(E$99:E106))</f>
        <v>82136.5</v>
      </c>
      <c r="E107" s="165">
        <f>IF(+J96&lt;F106,J96,D107)</f>
        <v>2099</v>
      </c>
      <c r="F107" s="163">
        <f t="shared" si="25"/>
        <v>80037.5</v>
      </c>
      <c r="G107" s="163">
        <f t="shared" si="26"/>
        <v>81087</v>
      </c>
      <c r="H107" s="167">
        <f t="shared" si="27"/>
        <v>12385.090410943139</v>
      </c>
      <c r="I107" s="317">
        <f t="shared" si="28"/>
        <v>12385.090410943139</v>
      </c>
      <c r="J107" s="162">
        <f t="shared" si="18"/>
        <v>0</v>
      </c>
      <c r="K107" s="162"/>
      <c r="L107" s="335"/>
      <c r="M107" s="162">
        <f t="shared" si="20"/>
        <v>0</v>
      </c>
      <c r="N107" s="335"/>
      <c r="O107" s="162">
        <f t="shared" si="22"/>
        <v>0</v>
      </c>
      <c r="P107" s="162">
        <f t="shared" si="23"/>
        <v>0</v>
      </c>
    </row>
    <row r="108" spans="1:16">
      <c r="B108" s="9" t="str">
        <f t="shared" si="24"/>
        <v/>
      </c>
      <c r="C108" s="157">
        <f>IF(D93="","-",+C107+1)</f>
        <v>2019</v>
      </c>
      <c r="D108" s="158">
        <f>IF(F107+SUM(E$99:E107)=D$92,F107,D$92-SUM(E$99:E107))</f>
        <v>80037.5</v>
      </c>
      <c r="E108" s="165">
        <f>IF(+J96&lt;F107,J96,D108)</f>
        <v>2099</v>
      </c>
      <c r="F108" s="163">
        <f t="shared" si="25"/>
        <v>77938.5</v>
      </c>
      <c r="G108" s="163">
        <f t="shared" si="26"/>
        <v>78988</v>
      </c>
      <c r="H108" s="167">
        <f t="shared" si="27"/>
        <v>12118.826968312758</v>
      </c>
      <c r="I108" s="317">
        <f t="shared" si="28"/>
        <v>12118.826968312758</v>
      </c>
      <c r="J108" s="162">
        <f t="shared" si="18"/>
        <v>0</v>
      </c>
      <c r="K108" s="162"/>
      <c r="L108" s="335"/>
      <c r="M108" s="162">
        <f t="shared" si="20"/>
        <v>0</v>
      </c>
      <c r="N108" s="335"/>
      <c r="O108" s="162">
        <f t="shared" si="22"/>
        <v>0</v>
      </c>
      <c r="P108" s="162">
        <f t="shared" si="23"/>
        <v>0</v>
      </c>
    </row>
    <row r="109" spans="1:16">
      <c r="B109" s="9" t="str">
        <f t="shared" si="24"/>
        <v/>
      </c>
      <c r="C109" s="157">
        <f>IF(D93="","-",+C108+1)</f>
        <v>2020</v>
      </c>
      <c r="D109" s="158">
        <f>IF(F108+SUM(E$99:E108)=D$92,F108,D$92-SUM(E$99:E108))</f>
        <v>77938.5</v>
      </c>
      <c r="E109" s="165">
        <f>IF(+J96&lt;F108,J96,D109)</f>
        <v>2099</v>
      </c>
      <c r="F109" s="163">
        <f t="shared" si="25"/>
        <v>75839.5</v>
      </c>
      <c r="G109" s="163">
        <f t="shared" si="26"/>
        <v>76889</v>
      </c>
      <c r="H109" s="167">
        <f t="shared" si="27"/>
        <v>11852.563525682379</v>
      </c>
      <c r="I109" s="317">
        <f t="shared" si="28"/>
        <v>11852.563525682379</v>
      </c>
      <c r="J109" s="162">
        <f t="shared" si="18"/>
        <v>0</v>
      </c>
      <c r="K109" s="162"/>
      <c r="L109" s="335"/>
      <c r="M109" s="162">
        <f t="shared" si="20"/>
        <v>0</v>
      </c>
      <c r="N109" s="335"/>
      <c r="O109" s="162">
        <f t="shared" si="22"/>
        <v>0</v>
      </c>
      <c r="P109" s="162">
        <f t="shared" si="23"/>
        <v>0</v>
      </c>
    </row>
    <row r="110" spans="1:16">
      <c r="B110" s="9" t="str">
        <f t="shared" si="24"/>
        <v/>
      </c>
      <c r="C110" s="157">
        <f>IF(D93="","-",+C109+1)</f>
        <v>2021</v>
      </c>
      <c r="D110" s="158">
        <f>IF(F109+SUM(E$99:E109)=D$92,F109,D$92-SUM(E$99:E109))</f>
        <v>75839.5</v>
      </c>
      <c r="E110" s="165">
        <f>IF(+J96&lt;F109,J96,D110)</f>
        <v>2099</v>
      </c>
      <c r="F110" s="163">
        <f t="shared" si="25"/>
        <v>73740.5</v>
      </c>
      <c r="G110" s="163">
        <f t="shared" si="26"/>
        <v>74790</v>
      </c>
      <c r="H110" s="167">
        <f t="shared" si="27"/>
        <v>11586.300083051998</v>
      </c>
      <c r="I110" s="317">
        <f t="shared" si="28"/>
        <v>11586.300083051998</v>
      </c>
      <c r="J110" s="162">
        <f t="shared" si="18"/>
        <v>0</v>
      </c>
      <c r="K110" s="162"/>
      <c r="L110" s="335"/>
      <c r="M110" s="162">
        <f t="shared" si="20"/>
        <v>0</v>
      </c>
      <c r="N110" s="335"/>
      <c r="O110" s="162">
        <f t="shared" si="22"/>
        <v>0</v>
      </c>
      <c r="P110" s="162">
        <f t="shared" si="23"/>
        <v>0</v>
      </c>
    </row>
    <row r="111" spans="1:16">
      <c r="B111" s="9" t="str">
        <f t="shared" si="24"/>
        <v/>
      </c>
      <c r="C111" s="157">
        <f>IF(D93="","-",+C110+1)</f>
        <v>2022</v>
      </c>
      <c r="D111" s="158">
        <f>IF(F110+SUM(E$99:E110)=D$92,F110,D$92-SUM(E$99:E110))</f>
        <v>73740.5</v>
      </c>
      <c r="E111" s="165">
        <f>IF(+J96&lt;F110,J96,D111)</f>
        <v>2099</v>
      </c>
      <c r="F111" s="163">
        <f t="shared" si="25"/>
        <v>71641.5</v>
      </c>
      <c r="G111" s="163">
        <f t="shared" si="26"/>
        <v>72691</v>
      </c>
      <c r="H111" s="167">
        <f t="shared" si="27"/>
        <v>11320.036640421618</v>
      </c>
      <c r="I111" s="317">
        <f t="shared" si="28"/>
        <v>11320.036640421618</v>
      </c>
      <c r="J111" s="162">
        <f t="shared" si="18"/>
        <v>0</v>
      </c>
      <c r="K111" s="162"/>
      <c r="L111" s="335"/>
      <c r="M111" s="162">
        <f t="shared" si="20"/>
        <v>0</v>
      </c>
      <c r="N111" s="335"/>
      <c r="O111" s="162">
        <f t="shared" si="22"/>
        <v>0</v>
      </c>
      <c r="P111" s="162">
        <f t="shared" si="23"/>
        <v>0</v>
      </c>
    </row>
    <row r="112" spans="1:16">
      <c r="B112" s="9" t="str">
        <f t="shared" si="24"/>
        <v/>
      </c>
      <c r="C112" s="157">
        <f>IF(D93="","-",+C111+1)</f>
        <v>2023</v>
      </c>
      <c r="D112" s="158">
        <f>IF(F111+SUM(E$99:E111)=D$92,F111,D$92-SUM(E$99:E111))</f>
        <v>71641.5</v>
      </c>
      <c r="E112" s="165">
        <f>IF(+J96&lt;F111,J96,D112)</f>
        <v>2099</v>
      </c>
      <c r="F112" s="163">
        <f t="shared" si="25"/>
        <v>69542.5</v>
      </c>
      <c r="G112" s="163">
        <f t="shared" si="26"/>
        <v>70592</v>
      </c>
      <c r="H112" s="167">
        <f t="shared" si="27"/>
        <v>11053.773197791237</v>
      </c>
      <c r="I112" s="317">
        <f t="shared" si="28"/>
        <v>11053.773197791237</v>
      </c>
      <c r="J112" s="162">
        <f t="shared" si="18"/>
        <v>0</v>
      </c>
      <c r="K112" s="162"/>
      <c r="L112" s="335"/>
      <c r="M112" s="162">
        <f t="shared" si="20"/>
        <v>0</v>
      </c>
      <c r="N112" s="335"/>
      <c r="O112" s="162">
        <f t="shared" si="22"/>
        <v>0</v>
      </c>
      <c r="P112" s="162">
        <f t="shared" si="23"/>
        <v>0</v>
      </c>
    </row>
    <row r="113" spans="2:16">
      <c r="B113" s="9" t="str">
        <f t="shared" si="24"/>
        <v/>
      </c>
      <c r="C113" s="157">
        <f>IF(D93="","-",+C112+1)</f>
        <v>2024</v>
      </c>
      <c r="D113" s="158">
        <f>IF(F112+SUM(E$99:E112)=D$92,F112,D$92-SUM(E$99:E112))</f>
        <v>69542.5</v>
      </c>
      <c r="E113" s="165">
        <f>IF(+J96&lt;F112,J96,D113)</f>
        <v>2099</v>
      </c>
      <c r="F113" s="163">
        <f t="shared" si="25"/>
        <v>67443.5</v>
      </c>
      <c r="G113" s="163">
        <f t="shared" si="26"/>
        <v>68493</v>
      </c>
      <c r="H113" s="167">
        <f t="shared" si="27"/>
        <v>10787.509755160858</v>
      </c>
      <c r="I113" s="317">
        <f t="shared" si="28"/>
        <v>10787.509755160858</v>
      </c>
      <c r="J113" s="162">
        <f t="shared" si="18"/>
        <v>0</v>
      </c>
      <c r="K113" s="162"/>
      <c r="L113" s="335"/>
      <c r="M113" s="162">
        <f t="shared" si="20"/>
        <v>0</v>
      </c>
      <c r="N113" s="335"/>
      <c r="O113" s="162">
        <f t="shared" si="22"/>
        <v>0</v>
      </c>
      <c r="P113" s="162">
        <f t="shared" si="23"/>
        <v>0</v>
      </c>
    </row>
    <row r="114" spans="2:16">
      <c r="B114" s="9" t="str">
        <f t="shared" si="24"/>
        <v/>
      </c>
      <c r="C114" s="157">
        <f>IF(D93="","-",+C113+1)</f>
        <v>2025</v>
      </c>
      <c r="D114" s="158">
        <f>IF(F113+SUM(E$99:E113)=D$92,F113,D$92-SUM(E$99:E113))</f>
        <v>67443.5</v>
      </c>
      <c r="E114" s="165">
        <f>IF(+J96&lt;F113,J96,D114)</f>
        <v>2099</v>
      </c>
      <c r="F114" s="163">
        <f t="shared" si="25"/>
        <v>65344.5</v>
      </c>
      <c r="G114" s="163">
        <f t="shared" si="26"/>
        <v>66394</v>
      </c>
      <c r="H114" s="167">
        <f t="shared" si="27"/>
        <v>10521.246312530477</v>
      </c>
      <c r="I114" s="317">
        <f t="shared" si="28"/>
        <v>10521.246312530477</v>
      </c>
      <c r="J114" s="162">
        <f t="shared" si="18"/>
        <v>0</v>
      </c>
      <c r="K114" s="162"/>
      <c r="L114" s="335"/>
      <c r="M114" s="162">
        <f t="shared" si="20"/>
        <v>0</v>
      </c>
      <c r="N114" s="335"/>
      <c r="O114" s="162">
        <f t="shared" si="22"/>
        <v>0</v>
      </c>
      <c r="P114" s="162">
        <f t="shared" si="23"/>
        <v>0</v>
      </c>
    </row>
    <row r="115" spans="2:16">
      <c r="B115" s="9" t="str">
        <f t="shared" si="24"/>
        <v/>
      </c>
      <c r="C115" s="157">
        <f>IF(D93="","-",+C114+1)</f>
        <v>2026</v>
      </c>
      <c r="D115" s="158">
        <f>IF(F114+SUM(E$99:E114)=D$92,F114,D$92-SUM(E$99:E114))</f>
        <v>65344.5</v>
      </c>
      <c r="E115" s="165">
        <f>IF(+J96&lt;F114,J96,D115)</f>
        <v>2099</v>
      </c>
      <c r="F115" s="163">
        <f t="shared" si="25"/>
        <v>63245.5</v>
      </c>
      <c r="G115" s="163">
        <f t="shared" si="26"/>
        <v>64295</v>
      </c>
      <c r="H115" s="167">
        <f t="shared" si="27"/>
        <v>10254.982869900097</v>
      </c>
      <c r="I115" s="317">
        <f t="shared" si="28"/>
        <v>10254.982869900097</v>
      </c>
      <c r="J115" s="162">
        <f t="shared" si="18"/>
        <v>0</v>
      </c>
      <c r="K115" s="162"/>
      <c r="L115" s="335"/>
      <c r="M115" s="162">
        <f t="shared" si="20"/>
        <v>0</v>
      </c>
      <c r="N115" s="335"/>
      <c r="O115" s="162">
        <f t="shared" si="22"/>
        <v>0</v>
      </c>
      <c r="P115" s="162">
        <f t="shared" si="23"/>
        <v>0</v>
      </c>
    </row>
    <row r="116" spans="2:16">
      <c r="B116" s="9" t="str">
        <f t="shared" si="24"/>
        <v/>
      </c>
      <c r="C116" s="157">
        <f>IF(D93="","-",+C115+1)</f>
        <v>2027</v>
      </c>
      <c r="D116" s="158">
        <f>IF(F115+SUM(E$99:E115)=D$92,F115,D$92-SUM(E$99:E115))</f>
        <v>63245.5</v>
      </c>
      <c r="E116" s="165">
        <f>IF(+J96&lt;F115,J96,D116)</f>
        <v>2099</v>
      </c>
      <c r="F116" s="163">
        <f t="shared" si="25"/>
        <v>61146.5</v>
      </c>
      <c r="G116" s="163">
        <f t="shared" si="26"/>
        <v>62196</v>
      </c>
      <c r="H116" s="167">
        <f t="shared" si="27"/>
        <v>9988.7194272697161</v>
      </c>
      <c r="I116" s="317">
        <f t="shared" si="28"/>
        <v>9988.7194272697161</v>
      </c>
      <c r="J116" s="162">
        <f t="shared" si="18"/>
        <v>0</v>
      </c>
      <c r="K116" s="162"/>
      <c r="L116" s="335"/>
      <c r="M116" s="162">
        <f t="shared" si="20"/>
        <v>0</v>
      </c>
      <c r="N116" s="335"/>
      <c r="O116" s="162">
        <f t="shared" si="22"/>
        <v>0</v>
      </c>
      <c r="P116" s="162">
        <f t="shared" si="23"/>
        <v>0</v>
      </c>
    </row>
    <row r="117" spans="2:16">
      <c r="B117" s="9" t="str">
        <f t="shared" si="24"/>
        <v/>
      </c>
      <c r="C117" s="157">
        <f>IF(D93="","-",+C116+1)</f>
        <v>2028</v>
      </c>
      <c r="D117" s="158">
        <f>IF(F116+SUM(E$99:E116)=D$92,F116,D$92-SUM(E$99:E116))</f>
        <v>61146.5</v>
      </c>
      <c r="E117" s="165">
        <f>IF(+J96&lt;F116,J96,D117)</f>
        <v>2099</v>
      </c>
      <c r="F117" s="163">
        <f t="shared" si="25"/>
        <v>59047.5</v>
      </c>
      <c r="G117" s="163">
        <f t="shared" si="26"/>
        <v>60097</v>
      </c>
      <c r="H117" s="167">
        <f t="shared" si="27"/>
        <v>9722.4559846393349</v>
      </c>
      <c r="I117" s="317">
        <f t="shared" si="28"/>
        <v>9722.4559846393349</v>
      </c>
      <c r="J117" s="162">
        <f t="shared" si="18"/>
        <v>0</v>
      </c>
      <c r="K117" s="162"/>
      <c r="L117" s="335"/>
      <c r="M117" s="162">
        <f t="shared" si="20"/>
        <v>0</v>
      </c>
      <c r="N117" s="335"/>
      <c r="O117" s="162">
        <f t="shared" si="22"/>
        <v>0</v>
      </c>
      <c r="P117" s="162">
        <f t="shared" si="23"/>
        <v>0</v>
      </c>
    </row>
    <row r="118" spans="2:16">
      <c r="B118" s="9" t="str">
        <f t="shared" si="24"/>
        <v/>
      </c>
      <c r="C118" s="157">
        <f>IF(D93="","-",+C117+1)</f>
        <v>2029</v>
      </c>
      <c r="D118" s="158">
        <f>IF(F117+SUM(E$99:E117)=D$92,F117,D$92-SUM(E$99:E117))</f>
        <v>59047.5</v>
      </c>
      <c r="E118" s="165">
        <f>IF(+J96&lt;F117,J96,D118)</f>
        <v>2099</v>
      </c>
      <c r="F118" s="163">
        <f t="shared" si="25"/>
        <v>56948.5</v>
      </c>
      <c r="G118" s="163">
        <f t="shared" si="26"/>
        <v>57998</v>
      </c>
      <c r="H118" s="167">
        <f t="shared" si="27"/>
        <v>9456.1925420089556</v>
      </c>
      <c r="I118" s="317">
        <f t="shared" si="28"/>
        <v>9456.1925420089556</v>
      </c>
      <c r="J118" s="162">
        <f t="shared" si="18"/>
        <v>0</v>
      </c>
      <c r="K118" s="162"/>
      <c r="L118" s="335"/>
      <c r="M118" s="162">
        <f t="shared" si="20"/>
        <v>0</v>
      </c>
      <c r="N118" s="335"/>
      <c r="O118" s="162">
        <f t="shared" si="22"/>
        <v>0</v>
      </c>
      <c r="P118" s="162">
        <f t="shared" si="23"/>
        <v>0</v>
      </c>
    </row>
    <row r="119" spans="2:16">
      <c r="B119" s="9" t="str">
        <f t="shared" si="24"/>
        <v/>
      </c>
      <c r="C119" s="157">
        <f>IF(D93="","-",+C118+1)</f>
        <v>2030</v>
      </c>
      <c r="D119" s="158">
        <f>IF(F118+SUM(E$99:E118)=D$92,F118,D$92-SUM(E$99:E118))</f>
        <v>56948.5</v>
      </c>
      <c r="E119" s="165">
        <f>IF(+J96&lt;F118,J96,D119)</f>
        <v>2099</v>
      </c>
      <c r="F119" s="163">
        <f t="shared" si="25"/>
        <v>54849.5</v>
      </c>
      <c r="G119" s="163">
        <f t="shared" si="26"/>
        <v>55899</v>
      </c>
      <c r="H119" s="167">
        <f t="shared" si="27"/>
        <v>9189.9290993785762</v>
      </c>
      <c r="I119" s="317">
        <f t="shared" si="28"/>
        <v>9189.9290993785762</v>
      </c>
      <c r="J119" s="162">
        <f t="shared" si="18"/>
        <v>0</v>
      </c>
      <c r="K119" s="162"/>
      <c r="L119" s="335"/>
      <c r="M119" s="162">
        <f t="shared" si="20"/>
        <v>0</v>
      </c>
      <c r="N119" s="335"/>
      <c r="O119" s="162">
        <f t="shared" si="22"/>
        <v>0</v>
      </c>
      <c r="P119" s="162">
        <f t="shared" si="23"/>
        <v>0</v>
      </c>
    </row>
    <row r="120" spans="2:16">
      <c r="B120" s="9" t="str">
        <f t="shared" si="24"/>
        <v/>
      </c>
      <c r="C120" s="157">
        <f>IF(D93="","-",+C119+1)</f>
        <v>2031</v>
      </c>
      <c r="D120" s="158">
        <f>IF(F119+SUM(E$99:E119)=D$92,F119,D$92-SUM(E$99:E119))</f>
        <v>54849.5</v>
      </c>
      <c r="E120" s="165">
        <f>IF(+J96&lt;F119,J96,D120)</f>
        <v>2099</v>
      </c>
      <c r="F120" s="163">
        <f t="shared" si="25"/>
        <v>52750.5</v>
      </c>
      <c r="G120" s="163">
        <f t="shared" si="26"/>
        <v>53800</v>
      </c>
      <c r="H120" s="167">
        <f t="shared" si="27"/>
        <v>8923.665656748195</v>
      </c>
      <c r="I120" s="317">
        <f t="shared" si="28"/>
        <v>8923.665656748195</v>
      </c>
      <c r="J120" s="162">
        <f t="shared" si="18"/>
        <v>0</v>
      </c>
      <c r="K120" s="162"/>
      <c r="L120" s="335"/>
      <c r="M120" s="162">
        <f t="shared" si="20"/>
        <v>0</v>
      </c>
      <c r="N120" s="335"/>
      <c r="O120" s="162">
        <f t="shared" si="22"/>
        <v>0</v>
      </c>
      <c r="P120" s="162">
        <f t="shared" si="23"/>
        <v>0</v>
      </c>
    </row>
    <row r="121" spans="2:16">
      <c r="B121" s="9" t="str">
        <f t="shared" si="24"/>
        <v/>
      </c>
      <c r="C121" s="157">
        <f>IF(D93="","-",+C120+1)</f>
        <v>2032</v>
      </c>
      <c r="D121" s="158">
        <f>IF(F120+SUM(E$99:E120)=D$92,F120,D$92-SUM(E$99:E120))</f>
        <v>52750.5</v>
      </c>
      <c r="E121" s="165">
        <f>IF(+J96&lt;F120,J96,D121)</f>
        <v>2099</v>
      </c>
      <c r="F121" s="163">
        <f t="shared" si="25"/>
        <v>50651.5</v>
      </c>
      <c r="G121" s="163">
        <f t="shared" si="26"/>
        <v>51701</v>
      </c>
      <c r="H121" s="167">
        <f t="shared" si="27"/>
        <v>8657.4022141178139</v>
      </c>
      <c r="I121" s="317">
        <f t="shared" si="28"/>
        <v>8657.4022141178139</v>
      </c>
      <c r="J121" s="162">
        <f t="shared" si="18"/>
        <v>0</v>
      </c>
      <c r="K121" s="162"/>
      <c r="L121" s="335"/>
      <c r="M121" s="162">
        <f t="shared" si="20"/>
        <v>0</v>
      </c>
      <c r="N121" s="335"/>
      <c r="O121" s="162">
        <f t="shared" si="22"/>
        <v>0</v>
      </c>
      <c r="P121" s="162">
        <f t="shared" si="23"/>
        <v>0</v>
      </c>
    </row>
    <row r="122" spans="2:16">
      <c r="B122" s="9" t="str">
        <f t="shared" si="24"/>
        <v/>
      </c>
      <c r="C122" s="157">
        <f>IF(D93="","-",+C121+1)</f>
        <v>2033</v>
      </c>
      <c r="D122" s="158">
        <f>IF(F121+SUM(E$99:E121)=D$92,F121,D$92-SUM(E$99:E121))</f>
        <v>50651.5</v>
      </c>
      <c r="E122" s="165">
        <f>IF(+J96&lt;F121,J96,D122)</f>
        <v>2099</v>
      </c>
      <c r="F122" s="163">
        <f t="shared" si="25"/>
        <v>48552.5</v>
      </c>
      <c r="G122" s="163">
        <f t="shared" si="26"/>
        <v>49602</v>
      </c>
      <c r="H122" s="167">
        <f t="shared" si="27"/>
        <v>8391.1387714874345</v>
      </c>
      <c r="I122" s="317">
        <f t="shared" si="28"/>
        <v>8391.1387714874345</v>
      </c>
      <c r="J122" s="162">
        <f t="shared" si="18"/>
        <v>0</v>
      </c>
      <c r="K122" s="162"/>
      <c r="L122" s="335"/>
      <c r="M122" s="162">
        <f t="shared" si="20"/>
        <v>0</v>
      </c>
      <c r="N122" s="335"/>
      <c r="O122" s="162">
        <f t="shared" si="22"/>
        <v>0</v>
      </c>
      <c r="P122" s="162">
        <f t="shared" si="23"/>
        <v>0</v>
      </c>
    </row>
    <row r="123" spans="2:16">
      <c r="B123" s="9" t="str">
        <f t="shared" si="24"/>
        <v/>
      </c>
      <c r="C123" s="157">
        <f>IF(D93="","-",+C122+1)</f>
        <v>2034</v>
      </c>
      <c r="D123" s="158">
        <f>IF(F122+SUM(E$99:E122)=D$92,F122,D$92-SUM(E$99:E122))</f>
        <v>48552.5</v>
      </c>
      <c r="E123" s="165">
        <f>IF(+J96&lt;F122,J96,D123)</f>
        <v>2099</v>
      </c>
      <c r="F123" s="163">
        <f t="shared" si="25"/>
        <v>46453.5</v>
      </c>
      <c r="G123" s="163">
        <f t="shared" si="26"/>
        <v>47503</v>
      </c>
      <c r="H123" s="167">
        <f t="shared" si="27"/>
        <v>8124.8753288570542</v>
      </c>
      <c r="I123" s="317">
        <f t="shared" si="28"/>
        <v>8124.8753288570542</v>
      </c>
      <c r="J123" s="162">
        <f t="shared" si="18"/>
        <v>0</v>
      </c>
      <c r="K123" s="162"/>
      <c r="L123" s="335"/>
      <c r="M123" s="162">
        <f t="shared" si="20"/>
        <v>0</v>
      </c>
      <c r="N123" s="335"/>
      <c r="O123" s="162">
        <f t="shared" si="22"/>
        <v>0</v>
      </c>
      <c r="P123" s="162">
        <f t="shared" si="23"/>
        <v>0</v>
      </c>
    </row>
    <row r="124" spans="2:16">
      <c r="B124" s="9" t="str">
        <f t="shared" si="24"/>
        <v/>
      </c>
      <c r="C124" s="157">
        <f>IF(D93="","-",+C123+1)</f>
        <v>2035</v>
      </c>
      <c r="D124" s="158">
        <f>IF(F123+SUM(E$99:E123)=D$92,F123,D$92-SUM(E$99:E123))</f>
        <v>46453.5</v>
      </c>
      <c r="E124" s="165">
        <f>IF(+J96&lt;F123,J96,D124)</f>
        <v>2099</v>
      </c>
      <c r="F124" s="163">
        <f t="shared" si="25"/>
        <v>44354.5</v>
      </c>
      <c r="G124" s="163">
        <f t="shared" si="26"/>
        <v>45404</v>
      </c>
      <c r="H124" s="167">
        <f t="shared" si="27"/>
        <v>7858.611886226674</v>
      </c>
      <c r="I124" s="317">
        <f t="shared" si="28"/>
        <v>7858.611886226674</v>
      </c>
      <c r="J124" s="162">
        <f t="shared" si="18"/>
        <v>0</v>
      </c>
      <c r="K124" s="162"/>
      <c r="L124" s="335"/>
      <c r="M124" s="162">
        <f t="shared" si="20"/>
        <v>0</v>
      </c>
      <c r="N124" s="335"/>
      <c r="O124" s="162">
        <f t="shared" si="22"/>
        <v>0</v>
      </c>
      <c r="P124" s="162">
        <f t="shared" si="23"/>
        <v>0</v>
      </c>
    </row>
    <row r="125" spans="2:16">
      <c r="B125" s="9" t="str">
        <f t="shared" si="24"/>
        <v/>
      </c>
      <c r="C125" s="157">
        <f>IF(D93="","-",+C124+1)</f>
        <v>2036</v>
      </c>
      <c r="D125" s="158">
        <f>IF(F124+SUM(E$99:E124)=D$92,F124,D$92-SUM(E$99:E124))</f>
        <v>44354.5</v>
      </c>
      <c r="E125" s="165">
        <f>IF(+J96&lt;F124,J96,D125)</f>
        <v>2099</v>
      </c>
      <c r="F125" s="163">
        <f t="shared" si="25"/>
        <v>42255.5</v>
      </c>
      <c r="G125" s="163">
        <f t="shared" si="26"/>
        <v>43305</v>
      </c>
      <c r="H125" s="167">
        <f t="shared" si="27"/>
        <v>7592.3484435962937</v>
      </c>
      <c r="I125" s="317">
        <f t="shared" si="28"/>
        <v>7592.3484435962937</v>
      </c>
      <c r="J125" s="162">
        <f t="shared" si="18"/>
        <v>0</v>
      </c>
      <c r="K125" s="162"/>
      <c r="L125" s="335"/>
      <c r="M125" s="162">
        <f t="shared" si="20"/>
        <v>0</v>
      </c>
      <c r="N125" s="335"/>
      <c r="O125" s="162">
        <f t="shared" si="22"/>
        <v>0</v>
      </c>
      <c r="P125" s="162">
        <f t="shared" si="23"/>
        <v>0</v>
      </c>
    </row>
    <row r="126" spans="2:16">
      <c r="B126" s="9" t="str">
        <f t="shared" si="24"/>
        <v/>
      </c>
      <c r="C126" s="157">
        <f>IF(D93="","-",+C125+1)</f>
        <v>2037</v>
      </c>
      <c r="D126" s="158">
        <f>IF(F125+SUM(E$99:E125)=D$92,F125,D$92-SUM(E$99:E125))</f>
        <v>42255.5</v>
      </c>
      <c r="E126" s="165">
        <f>IF(+J96&lt;F125,J96,D126)</f>
        <v>2099</v>
      </c>
      <c r="F126" s="163">
        <f t="shared" si="25"/>
        <v>40156.5</v>
      </c>
      <c r="G126" s="163">
        <f t="shared" si="26"/>
        <v>41206</v>
      </c>
      <c r="H126" s="167">
        <f t="shared" si="27"/>
        <v>7326.0850009659134</v>
      </c>
      <c r="I126" s="317">
        <f t="shared" si="28"/>
        <v>7326.0850009659134</v>
      </c>
      <c r="J126" s="162">
        <f t="shared" si="18"/>
        <v>0</v>
      </c>
      <c r="K126" s="162"/>
      <c r="L126" s="335"/>
      <c r="M126" s="162">
        <f t="shared" si="20"/>
        <v>0</v>
      </c>
      <c r="N126" s="335"/>
      <c r="O126" s="162">
        <f t="shared" si="22"/>
        <v>0</v>
      </c>
      <c r="P126" s="162">
        <f t="shared" si="23"/>
        <v>0</v>
      </c>
    </row>
    <row r="127" spans="2:16">
      <c r="B127" s="9" t="str">
        <f t="shared" si="24"/>
        <v/>
      </c>
      <c r="C127" s="157">
        <f>IF(D93="","-",+C126+1)</f>
        <v>2038</v>
      </c>
      <c r="D127" s="158">
        <f>IF(F126+SUM(E$99:E126)=D$92,F126,D$92-SUM(E$99:E126))</f>
        <v>40156.5</v>
      </c>
      <c r="E127" s="165">
        <f>IF(+J96&lt;F126,J96,D127)</f>
        <v>2099</v>
      </c>
      <c r="F127" s="163">
        <f t="shared" si="25"/>
        <v>38057.5</v>
      </c>
      <c r="G127" s="163">
        <f t="shared" si="26"/>
        <v>39107</v>
      </c>
      <c r="H127" s="167">
        <f t="shared" si="27"/>
        <v>7059.8215583355332</v>
      </c>
      <c r="I127" s="317">
        <f t="shared" si="28"/>
        <v>7059.8215583355332</v>
      </c>
      <c r="J127" s="162">
        <f t="shared" si="18"/>
        <v>0</v>
      </c>
      <c r="K127" s="162"/>
      <c r="L127" s="335"/>
      <c r="M127" s="162">
        <f t="shared" si="20"/>
        <v>0</v>
      </c>
      <c r="N127" s="335"/>
      <c r="O127" s="162">
        <f t="shared" si="22"/>
        <v>0</v>
      </c>
      <c r="P127" s="162">
        <f t="shared" si="23"/>
        <v>0</v>
      </c>
    </row>
    <row r="128" spans="2:16">
      <c r="B128" s="9" t="str">
        <f t="shared" si="24"/>
        <v/>
      </c>
      <c r="C128" s="157">
        <f>IF(D93="","-",+C127+1)</f>
        <v>2039</v>
      </c>
      <c r="D128" s="158">
        <f>IF(F127+SUM(E$99:E127)=D$92,F127,D$92-SUM(E$99:E127))</f>
        <v>38057.5</v>
      </c>
      <c r="E128" s="165">
        <f>IF(+J96&lt;F127,J96,D128)</f>
        <v>2099</v>
      </c>
      <c r="F128" s="163">
        <f t="shared" si="25"/>
        <v>35958.5</v>
      </c>
      <c r="G128" s="163">
        <f t="shared" si="26"/>
        <v>37008</v>
      </c>
      <c r="H128" s="167">
        <f t="shared" si="27"/>
        <v>6793.5581157051529</v>
      </c>
      <c r="I128" s="317">
        <f t="shared" si="28"/>
        <v>6793.5581157051529</v>
      </c>
      <c r="J128" s="162">
        <f t="shared" si="18"/>
        <v>0</v>
      </c>
      <c r="K128" s="162"/>
      <c r="L128" s="335"/>
      <c r="M128" s="162">
        <f t="shared" si="20"/>
        <v>0</v>
      </c>
      <c r="N128" s="335"/>
      <c r="O128" s="162">
        <f t="shared" si="22"/>
        <v>0</v>
      </c>
      <c r="P128" s="162">
        <f t="shared" si="23"/>
        <v>0</v>
      </c>
    </row>
    <row r="129" spans="2:16">
      <c r="B129" s="9" t="str">
        <f t="shared" si="24"/>
        <v/>
      </c>
      <c r="C129" s="157">
        <f>IF(D93="","-",+C128+1)</f>
        <v>2040</v>
      </c>
      <c r="D129" s="158">
        <f>IF(F128+SUM(E$99:E128)=D$92,F128,D$92-SUM(E$99:E128))</f>
        <v>35958.5</v>
      </c>
      <c r="E129" s="165">
        <f>IF(+J96&lt;F128,J96,D129)</f>
        <v>2099</v>
      </c>
      <c r="F129" s="163">
        <f t="shared" si="25"/>
        <v>33859.5</v>
      </c>
      <c r="G129" s="163">
        <f t="shared" si="26"/>
        <v>34909</v>
      </c>
      <c r="H129" s="167">
        <f t="shared" si="27"/>
        <v>6527.2946730747726</v>
      </c>
      <c r="I129" s="317">
        <f t="shared" si="28"/>
        <v>6527.2946730747726</v>
      </c>
      <c r="J129" s="162">
        <f t="shared" si="18"/>
        <v>0</v>
      </c>
      <c r="K129" s="162"/>
      <c r="L129" s="335"/>
      <c r="M129" s="162">
        <f t="shared" si="20"/>
        <v>0</v>
      </c>
      <c r="N129" s="335"/>
      <c r="O129" s="162">
        <f t="shared" si="22"/>
        <v>0</v>
      </c>
      <c r="P129" s="162">
        <f t="shared" si="23"/>
        <v>0</v>
      </c>
    </row>
    <row r="130" spans="2:16">
      <c r="B130" s="9" t="str">
        <f t="shared" si="24"/>
        <v/>
      </c>
      <c r="C130" s="157">
        <f>IF(D93="","-",+C129+1)</f>
        <v>2041</v>
      </c>
      <c r="D130" s="158">
        <f>IF(F129+SUM(E$99:E129)=D$92,F129,D$92-SUM(E$99:E129))</f>
        <v>33859.5</v>
      </c>
      <c r="E130" s="165">
        <f>IF(+J96&lt;F129,J96,D130)</f>
        <v>2099</v>
      </c>
      <c r="F130" s="163">
        <f t="shared" ref="F130:F145" si="29">+D130-E130</f>
        <v>31760.5</v>
      </c>
      <c r="G130" s="163">
        <f t="shared" ref="G130:G145" si="30">+(F130+D130)/2</f>
        <v>32810</v>
      </c>
      <c r="H130" s="167">
        <f t="shared" si="27"/>
        <v>6261.0312304443914</v>
      </c>
      <c r="I130" s="317">
        <f t="shared" si="28"/>
        <v>6261.0312304443914</v>
      </c>
      <c r="J130" s="162">
        <f t="shared" si="18"/>
        <v>0</v>
      </c>
      <c r="K130" s="162"/>
      <c r="L130" s="335"/>
      <c r="M130" s="162">
        <f t="shared" si="20"/>
        <v>0</v>
      </c>
      <c r="N130" s="335"/>
      <c r="O130" s="162">
        <f t="shared" si="22"/>
        <v>0</v>
      </c>
      <c r="P130" s="162">
        <f t="shared" si="23"/>
        <v>0</v>
      </c>
    </row>
    <row r="131" spans="2:16">
      <c r="B131" s="9" t="str">
        <f t="shared" si="24"/>
        <v/>
      </c>
      <c r="C131" s="157">
        <f>IF(D93="","-",+C130+1)</f>
        <v>2042</v>
      </c>
      <c r="D131" s="158">
        <f>IF(F130+SUM(E$99:E130)=D$92,F130,D$92-SUM(E$99:E130))</f>
        <v>31760.5</v>
      </c>
      <c r="E131" s="165">
        <f>IF(+J96&lt;F130,J96,D131)</f>
        <v>2099</v>
      </c>
      <c r="F131" s="163">
        <f t="shared" si="29"/>
        <v>29661.5</v>
      </c>
      <c r="G131" s="163">
        <f t="shared" si="30"/>
        <v>30711</v>
      </c>
      <c r="H131" s="167">
        <f t="shared" ref="H131:H154" si="31">+J$94*G131+E131</f>
        <v>5994.7677878140112</v>
      </c>
      <c r="I131" s="317">
        <f t="shared" ref="I131:I154" si="32">+J$95*G131+E131</f>
        <v>5994.7677878140112</v>
      </c>
      <c r="J131" s="162">
        <f t="shared" ref="J131:J154" si="33">+I541-H541</f>
        <v>0</v>
      </c>
      <c r="K131" s="162"/>
      <c r="L131" s="335"/>
      <c r="M131" s="162">
        <f t="shared" ref="M131:M154" si="34">IF(L541&lt;&gt;0,+H541-L541,0)</f>
        <v>0</v>
      </c>
      <c r="N131" s="335"/>
      <c r="O131" s="162">
        <f t="shared" ref="O131:O154" si="35">IF(N541&lt;&gt;0,+I541-N541,0)</f>
        <v>0</v>
      </c>
      <c r="P131" s="162">
        <f t="shared" ref="P131:P154" si="36">+O541-M541</f>
        <v>0</v>
      </c>
    </row>
    <row r="132" spans="2:16">
      <c r="B132" s="9" t="str">
        <f t="shared" si="24"/>
        <v/>
      </c>
      <c r="C132" s="157">
        <f>IF(D93="","-",+C131+1)</f>
        <v>2043</v>
      </c>
      <c r="D132" s="158">
        <f>IF(F131+SUM(E$99:E131)=D$92,F131,D$92-SUM(E$99:E131))</f>
        <v>29661.5</v>
      </c>
      <c r="E132" s="165">
        <f>IF(+J96&lt;F131,J96,D132)</f>
        <v>2099</v>
      </c>
      <c r="F132" s="163">
        <f t="shared" si="29"/>
        <v>27562.5</v>
      </c>
      <c r="G132" s="163">
        <f t="shared" si="30"/>
        <v>28612</v>
      </c>
      <c r="H132" s="167">
        <f t="shared" si="31"/>
        <v>5728.5043451836318</v>
      </c>
      <c r="I132" s="317">
        <f t="shared" si="32"/>
        <v>5728.5043451836318</v>
      </c>
      <c r="J132" s="162">
        <f t="shared" si="33"/>
        <v>0</v>
      </c>
      <c r="K132" s="162"/>
      <c r="L132" s="335"/>
      <c r="M132" s="162">
        <f t="shared" si="34"/>
        <v>0</v>
      </c>
      <c r="N132" s="335"/>
      <c r="O132" s="162">
        <f t="shared" si="35"/>
        <v>0</v>
      </c>
      <c r="P132" s="162">
        <f t="shared" si="36"/>
        <v>0</v>
      </c>
    </row>
    <row r="133" spans="2:16">
      <c r="B133" s="9" t="str">
        <f t="shared" si="24"/>
        <v/>
      </c>
      <c r="C133" s="157">
        <f>IF(D93="","-",+C132+1)</f>
        <v>2044</v>
      </c>
      <c r="D133" s="158">
        <f>IF(F132+SUM(E$99:E132)=D$92,F132,D$92-SUM(E$99:E132))</f>
        <v>27562.5</v>
      </c>
      <c r="E133" s="165">
        <f>IF(+J96&lt;F132,J96,D133)</f>
        <v>2099</v>
      </c>
      <c r="F133" s="163">
        <f t="shared" si="29"/>
        <v>25463.5</v>
      </c>
      <c r="G133" s="163">
        <f t="shared" si="30"/>
        <v>26513</v>
      </c>
      <c r="H133" s="167">
        <f t="shared" si="31"/>
        <v>5462.2409025532506</v>
      </c>
      <c r="I133" s="317">
        <f t="shared" si="32"/>
        <v>5462.2409025532506</v>
      </c>
      <c r="J133" s="162">
        <f t="shared" si="33"/>
        <v>0</v>
      </c>
      <c r="K133" s="162"/>
      <c r="L133" s="335"/>
      <c r="M133" s="162">
        <f t="shared" si="34"/>
        <v>0</v>
      </c>
      <c r="N133" s="335"/>
      <c r="O133" s="162">
        <f t="shared" si="35"/>
        <v>0</v>
      </c>
      <c r="P133" s="162">
        <f t="shared" si="36"/>
        <v>0</v>
      </c>
    </row>
    <row r="134" spans="2:16">
      <c r="B134" s="9" t="str">
        <f t="shared" si="24"/>
        <v/>
      </c>
      <c r="C134" s="157">
        <f>IF(D93="","-",+C133+1)</f>
        <v>2045</v>
      </c>
      <c r="D134" s="158">
        <f>IF(F133+SUM(E$99:E133)=D$92,F133,D$92-SUM(E$99:E133))</f>
        <v>25463.5</v>
      </c>
      <c r="E134" s="165">
        <f>IF(+J96&lt;F133,J96,D134)</f>
        <v>2099</v>
      </c>
      <c r="F134" s="163">
        <f t="shared" si="29"/>
        <v>23364.5</v>
      </c>
      <c r="G134" s="163">
        <f t="shared" si="30"/>
        <v>24414</v>
      </c>
      <c r="H134" s="167">
        <f t="shared" si="31"/>
        <v>5195.9774599228704</v>
      </c>
      <c r="I134" s="317">
        <f t="shared" si="32"/>
        <v>5195.9774599228704</v>
      </c>
      <c r="J134" s="162">
        <f t="shared" si="33"/>
        <v>0</v>
      </c>
      <c r="K134" s="162"/>
      <c r="L134" s="335"/>
      <c r="M134" s="162">
        <f t="shared" si="34"/>
        <v>0</v>
      </c>
      <c r="N134" s="335"/>
      <c r="O134" s="162">
        <f t="shared" si="35"/>
        <v>0</v>
      </c>
      <c r="P134" s="162">
        <f t="shared" si="36"/>
        <v>0</v>
      </c>
    </row>
    <row r="135" spans="2:16">
      <c r="B135" s="9" t="str">
        <f t="shared" si="24"/>
        <v/>
      </c>
      <c r="C135" s="157">
        <f>IF(D93="","-",+C134+1)</f>
        <v>2046</v>
      </c>
      <c r="D135" s="158">
        <f>IF(F134+SUM(E$99:E134)=D$92,F134,D$92-SUM(E$99:E134))</f>
        <v>23364.5</v>
      </c>
      <c r="E135" s="165">
        <f>IF(+J96&lt;F134,J96,D135)</f>
        <v>2099</v>
      </c>
      <c r="F135" s="163">
        <f t="shared" si="29"/>
        <v>21265.5</v>
      </c>
      <c r="G135" s="163">
        <f t="shared" si="30"/>
        <v>22315</v>
      </c>
      <c r="H135" s="167">
        <f t="shared" si="31"/>
        <v>4929.7140172924901</v>
      </c>
      <c r="I135" s="317">
        <f t="shared" si="32"/>
        <v>4929.7140172924901</v>
      </c>
      <c r="J135" s="162">
        <f t="shared" si="33"/>
        <v>0</v>
      </c>
      <c r="K135" s="162"/>
      <c r="L135" s="335"/>
      <c r="M135" s="162">
        <f t="shared" si="34"/>
        <v>0</v>
      </c>
      <c r="N135" s="335"/>
      <c r="O135" s="162">
        <f t="shared" si="35"/>
        <v>0</v>
      </c>
      <c r="P135" s="162">
        <f t="shared" si="36"/>
        <v>0</v>
      </c>
    </row>
    <row r="136" spans="2:16">
      <c r="B136" s="9" t="str">
        <f t="shared" si="24"/>
        <v/>
      </c>
      <c r="C136" s="157">
        <f>IF(D93="","-",+C135+1)</f>
        <v>2047</v>
      </c>
      <c r="D136" s="158">
        <f>IF(F135+SUM(E$99:E135)=D$92,F135,D$92-SUM(E$99:E135))</f>
        <v>21265.5</v>
      </c>
      <c r="E136" s="165">
        <f>IF(+J96&lt;F135,J96,D136)</f>
        <v>2099</v>
      </c>
      <c r="F136" s="163">
        <f t="shared" si="29"/>
        <v>19166.5</v>
      </c>
      <c r="G136" s="163">
        <f t="shared" si="30"/>
        <v>20216</v>
      </c>
      <c r="H136" s="167">
        <f t="shared" si="31"/>
        <v>4663.4505746621098</v>
      </c>
      <c r="I136" s="317">
        <f t="shared" si="32"/>
        <v>4663.4505746621098</v>
      </c>
      <c r="J136" s="162">
        <f t="shared" si="33"/>
        <v>0</v>
      </c>
      <c r="K136" s="162"/>
      <c r="L136" s="335"/>
      <c r="M136" s="162">
        <f t="shared" si="34"/>
        <v>0</v>
      </c>
      <c r="N136" s="335"/>
      <c r="O136" s="162">
        <f t="shared" si="35"/>
        <v>0</v>
      </c>
      <c r="P136" s="162">
        <f t="shared" si="36"/>
        <v>0</v>
      </c>
    </row>
    <row r="137" spans="2:16">
      <c r="B137" s="9" t="str">
        <f t="shared" si="24"/>
        <v/>
      </c>
      <c r="C137" s="157">
        <f>IF(D93="","-",+C136+1)</f>
        <v>2048</v>
      </c>
      <c r="D137" s="158">
        <f>IF(F136+SUM(E$99:E136)=D$92,F136,D$92-SUM(E$99:E136))</f>
        <v>19166.5</v>
      </c>
      <c r="E137" s="165">
        <f>IF(+J96&lt;F136,J96,D137)</f>
        <v>2099</v>
      </c>
      <c r="F137" s="163">
        <f t="shared" si="29"/>
        <v>17067.5</v>
      </c>
      <c r="G137" s="163">
        <f t="shared" si="30"/>
        <v>18117</v>
      </c>
      <c r="H137" s="167">
        <f t="shared" si="31"/>
        <v>4397.1871320317296</v>
      </c>
      <c r="I137" s="317">
        <f t="shared" si="32"/>
        <v>4397.1871320317296</v>
      </c>
      <c r="J137" s="162">
        <f t="shared" si="33"/>
        <v>0</v>
      </c>
      <c r="K137" s="162"/>
      <c r="L137" s="335"/>
      <c r="M137" s="162">
        <f t="shared" si="34"/>
        <v>0</v>
      </c>
      <c r="N137" s="335"/>
      <c r="O137" s="162">
        <f t="shared" si="35"/>
        <v>0</v>
      </c>
      <c r="P137" s="162">
        <f t="shared" si="36"/>
        <v>0</v>
      </c>
    </row>
    <row r="138" spans="2:16">
      <c r="B138" s="9" t="str">
        <f t="shared" si="24"/>
        <v/>
      </c>
      <c r="C138" s="157">
        <f>IF(D93="","-",+C137+1)</f>
        <v>2049</v>
      </c>
      <c r="D138" s="158">
        <f>IF(F137+SUM(E$99:E137)=D$92,F137,D$92-SUM(E$99:E137))</f>
        <v>17067.5</v>
      </c>
      <c r="E138" s="165">
        <f>IF(+J96&lt;F137,J96,D138)</f>
        <v>2099</v>
      </c>
      <c r="F138" s="163">
        <f t="shared" si="29"/>
        <v>14968.5</v>
      </c>
      <c r="G138" s="163">
        <f t="shared" si="30"/>
        <v>16018</v>
      </c>
      <c r="H138" s="167">
        <f t="shared" si="31"/>
        <v>4130.9236894013493</v>
      </c>
      <c r="I138" s="317">
        <f t="shared" si="32"/>
        <v>4130.9236894013493</v>
      </c>
      <c r="J138" s="162">
        <f t="shared" si="33"/>
        <v>0</v>
      </c>
      <c r="K138" s="162"/>
      <c r="L138" s="335"/>
      <c r="M138" s="162">
        <f t="shared" si="34"/>
        <v>0</v>
      </c>
      <c r="N138" s="335"/>
      <c r="O138" s="162">
        <f t="shared" si="35"/>
        <v>0</v>
      </c>
      <c r="P138" s="162">
        <f t="shared" si="36"/>
        <v>0</v>
      </c>
    </row>
    <row r="139" spans="2:16">
      <c r="B139" s="9" t="str">
        <f t="shared" si="24"/>
        <v/>
      </c>
      <c r="C139" s="157">
        <f>IF(D93="","-",+C138+1)</f>
        <v>2050</v>
      </c>
      <c r="D139" s="158">
        <f>IF(F138+SUM(E$99:E138)=D$92,F138,D$92-SUM(E$99:E138))</f>
        <v>14968.5</v>
      </c>
      <c r="E139" s="165">
        <f>IF(+J96&lt;F138,J96,D139)</f>
        <v>2099</v>
      </c>
      <c r="F139" s="163">
        <f t="shared" si="29"/>
        <v>12869.5</v>
      </c>
      <c r="G139" s="163">
        <f t="shared" si="30"/>
        <v>13919</v>
      </c>
      <c r="H139" s="167">
        <f t="shared" si="31"/>
        <v>3864.660246770969</v>
      </c>
      <c r="I139" s="317">
        <f t="shared" si="32"/>
        <v>3864.660246770969</v>
      </c>
      <c r="J139" s="162">
        <f t="shared" si="33"/>
        <v>0</v>
      </c>
      <c r="K139" s="162"/>
      <c r="L139" s="335"/>
      <c r="M139" s="162">
        <f t="shared" si="34"/>
        <v>0</v>
      </c>
      <c r="N139" s="335"/>
      <c r="O139" s="162">
        <f t="shared" si="35"/>
        <v>0</v>
      </c>
      <c r="P139" s="162">
        <f t="shared" si="36"/>
        <v>0</v>
      </c>
    </row>
    <row r="140" spans="2:16">
      <c r="B140" s="9" t="str">
        <f t="shared" si="24"/>
        <v/>
      </c>
      <c r="C140" s="157">
        <f>IF(D93="","-",+C139+1)</f>
        <v>2051</v>
      </c>
      <c r="D140" s="158">
        <f>IF(F139+SUM(E$99:E139)=D$92,F139,D$92-SUM(E$99:E139))</f>
        <v>12869.5</v>
      </c>
      <c r="E140" s="165">
        <f>IF(+J96&lt;F139,J96,D140)</f>
        <v>2099</v>
      </c>
      <c r="F140" s="163">
        <f t="shared" si="29"/>
        <v>10770.5</v>
      </c>
      <c r="G140" s="163">
        <f t="shared" si="30"/>
        <v>11820</v>
      </c>
      <c r="H140" s="167">
        <f t="shared" si="31"/>
        <v>3598.3968041405888</v>
      </c>
      <c r="I140" s="317">
        <f t="shared" si="32"/>
        <v>3598.3968041405888</v>
      </c>
      <c r="J140" s="162">
        <f t="shared" si="33"/>
        <v>0</v>
      </c>
      <c r="K140" s="162"/>
      <c r="L140" s="335"/>
      <c r="M140" s="162">
        <f t="shared" si="34"/>
        <v>0</v>
      </c>
      <c r="N140" s="335"/>
      <c r="O140" s="162">
        <f t="shared" si="35"/>
        <v>0</v>
      </c>
      <c r="P140" s="162">
        <f t="shared" si="36"/>
        <v>0</v>
      </c>
    </row>
    <row r="141" spans="2:16">
      <c r="B141" s="9" t="str">
        <f t="shared" si="24"/>
        <v/>
      </c>
      <c r="C141" s="157">
        <f>IF(D93="","-",+C140+1)</f>
        <v>2052</v>
      </c>
      <c r="D141" s="158">
        <f>IF(F140+SUM(E$99:E140)=D$92,F140,D$92-SUM(E$99:E140))</f>
        <v>10770.5</v>
      </c>
      <c r="E141" s="165">
        <f>IF(+J96&lt;F140,J96,D141)</f>
        <v>2099</v>
      </c>
      <c r="F141" s="163">
        <f t="shared" si="29"/>
        <v>8671.5</v>
      </c>
      <c r="G141" s="163">
        <f t="shared" si="30"/>
        <v>9721</v>
      </c>
      <c r="H141" s="167">
        <f t="shared" si="31"/>
        <v>3332.1333615102085</v>
      </c>
      <c r="I141" s="317">
        <f t="shared" si="32"/>
        <v>3332.1333615102085</v>
      </c>
      <c r="J141" s="162">
        <f t="shared" si="33"/>
        <v>0</v>
      </c>
      <c r="K141" s="162"/>
      <c r="L141" s="335"/>
      <c r="M141" s="162">
        <f t="shared" si="34"/>
        <v>0</v>
      </c>
      <c r="N141" s="335"/>
      <c r="O141" s="162">
        <f t="shared" si="35"/>
        <v>0</v>
      </c>
      <c r="P141" s="162">
        <f t="shared" si="36"/>
        <v>0</v>
      </c>
    </row>
    <row r="142" spans="2:16">
      <c r="B142" s="9" t="str">
        <f t="shared" si="24"/>
        <v/>
      </c>
      <c r="C142" s="157">
        <f>IF(D93="","-",+C141+1)</f>
        <v>2053</v>
      </c>
      <c r="D142" s="158">
        <f>IF(F141+SUM(E$99:E141)=D$92,F141,D$92-SUM(E$99:E141))</f>
        <v>8671.5</v>
      </c>
      <c r="E142" s="165">
        <f>IF(+J96&lt;F141,J96,D142)</f>
        <v>2099</v>
      </c>
      <c r="F142" s="163">
        <f t="shared" si="29"/>
        <v>6572.5</v>
      </c>
      <c r="G142" s="163">
        <f t="shared" si="30"/>
        <v>7622</v>
      </c>
      <c r="H142" s="167">
        <f t="shared" si="31"/>
        <v>3065.8699188798282</v>
      </c>
      <c r="I142" s="317">
        <f t="shared" si="32"/>
        <v>3065.8699188798282</v>
      </c>
      <c r="J142" s="162">
        <f t="shared" si="33"/>
        <v>0</v>
      </c>
      <c r="K142" s="162"/>
      <c r="L142" s="335"/>
      <c r="M142" s="162">
        <f t="shared" si="34"/>
        <v>0</v>
      </c>
      <c r="N142" s="335"/>
      <c r="O142" s="162">
        <f t="shared" si="35"/>
        <v>0</v>
      </c>
      <c r="P142" s="162">
        <f t="shared" si="36"/>
        <v>0</v>
      </c>
    </row>
    <row r="143" spans="2:16">
      <c r="B143" s="9" t="str">
        <f t="shared" si="24"/>
        <v/>
      </c>
      <c r="C143" s="157">
        <f>IF(D93="","-",+C142+1)</f>
        <v>2054</v>
      </c>
      <c r="D143" s="158">
        <f>IF(F142+SUM(E$99:E142)=D$92,F142,D$92-SUM(E$99:E142))</f>
        <v>6572.5</v>
      </c>
      <c r="E143" s="165">
        <f>IF(+J96&lt;F142,J96,D143)</f>
        <v>2099</v>
      </c>
      <c r="F143" s="163">
        <f t="shared" si="29"/>
        <v>4473.5</v>
      </c>
      <c r="G143" s="163">
        <f t="shared" si="30"/>
        <v>5523</v>
      </c>
      <c r="H143" s="167">
        <f t="shared" si="31"/>
        <v>2799.6064762494475</v>
      </c>
      <c r="I143" s="317">
        <f t="shared" si="32"/>
        <v>2799.6064762494475</v>
      </c>
      <c r="J143" s="162">
        <f t="shared" si="33"/>
        <v>0</v>
      </c>
      <c r="K143" s="162"/>
      <c r="L143" s="335"/>
      <c r="M143" s="162">
        <f t="shared" si="34"/>
        <v>0</v>
      </c>
      <c r="N143" s="335"/>
      <c r="O143" s="162">
        <f t="shared" si="35"/>
        <v>0</v>
      </c>
      <c r="P143" s="162">
        <f t="shared" si="36"/>
        <v>0</v>
      </c>
    </row>
    <row r="144" spans="2:16">
      <c r="B144" s="9" t="str">
        <f t="shared" si="24"/>
        <v/>
      </c>
      <c r="C144" s="157">
        <f>IF(D93="","-",+C143+1)</f>
        <v>2055</v>
      </c>
      <c r="D144" s="158">
        <f>IF(F143+SUM(E$99:E143)=D$92,F143,D$92-SUM(E$99:E143))</f>
        <v>4473.5</v>
      </c>
      <c r="E144" s="165">
        <f>IF(+J96&lt;F143,J96,D144)</f>
        <v>2099</v>
      </c>
      <c r="F144" s="163">
        <f t="shared" si="29"/>
        <v>2374.5</v>
      </c>
      <c r="G144" s="163">
        <f t="shared" si="30"/>
        <v>3424</v>
      </c>
      <c r="H144" s="167">
        <f t="shared" si="31"/>
        <v>2533.3430336190672</v>
      </c>
      <c r="I144" s="317">
        <f t="shared" si="32"/>
        <v>2533.3430336190672</v>
      </c>
      <c r="J144" s="162">
        <f t="shared" si="33"/>
        <v>0</v>
      </c>
      <c r="K144" s="162"/>
      <c r="L144" s="335"/>
      <c r="M144" s="162">
        <f t="shared" si="34"/>
        <v>0</v>
      </c>
      <c r="N144" s="335"/>
      <c r="O144" s="162">
        <f t="shared" si="35"/>
        <v>0</v>
      </c>
      <c r="P144" s="162">
        <f t="shared" si="36"/>
        <v>0</v>
      </c>
    </row>
    <row r="145" spans="2:16">
      <c r="B145" s="9" t="str">
        <f t="shared" si="24"/>
        <v/>
      </c>
      <c r="C145" s="157">
        <f>IF(D93="","-",+C144+1)</f>
        <v>2056</v>
      </c>
      <c r="D145" s="158">
        <f>IF(F144+SUM(E$99:E144)=D$92,F144,D$92-SUM(E$99:E144))</f>
        <v>2374.5</v>
      </c>
      <c r="E145" s="165">
        <f>IF(+J96&lt;F144,J96,D145)</f>
        <v>2099</v>
      </c>
      <c r="F145" s="163">
        <f t="shared" si="29"/>
        <v>275.5</v>
      </c>
      <c r="G145" s="163">
        <f t="shared" si="30"/>
        <v>1325</v>
      </c>
      <c r="H145" s="167">
        <f t="shared" si="31"/>
        <v>2267.079590988687</v>
      </c>
      <c r="I145" s="317">
        <f t="shared" si="32"/>
        <v>2267.079590988687</v>
      </c>
      <c r="J145" s="162">
        <f t="shared" si="33"/>
        <v>0</v>
      </c>
      <c r="K145" s="162"/>
      <c r="L145" s="335"/>
      <c r="M145" s="162">
        <f t="shared" si="34"/>
        <v>0</v>
      </c>
      <c r="N145" s="335"/>
      <c r="O145" s="162">
        <f t="shared" si="35"/>
        <v>0</v>
      </c>
      <c r="P145" s="162">
        <f t="shared" si="36"/>
        <v>0</v>
      </c>
    </row>
    <row r="146" spans="2:16">
      <c r="B146" s="9" t="str">
        <f t="shared" si="24"/>
        <v/>
      </c>
      <c r="C146" s="157">
        <f>IF(D93="","-",+C145+1)</f>
        <v>2057</v>
      </c>
      <c r="D146" s="158">
        <f>IF(F145+SUM(E$99:E145)=D$92,F145,D$92-SUM(E$99:E145))</f>
        <v>275.5</v>
      </c>
      <c r="E146" s="165">
        <f>IF(+J96&lt;F145,J96,D146)</f>
        <v>275.5</v>
      </c>
      <c r="F146" s="163">
        <f t="shared" ref="F146:F154" si="37">+D146-E146</f>
        <v>0</v>
      </c>
      <c r="G146" s="163">
        <f t="shared" ref="G146:G154" si="38">+(F146+D146)/2</f>
        <v>137.75</v>
      </c>
      <c r="H146" s="167">
        <f t="shared" si="31"/>
        <v>292.97393483674841</v>
      </c>
      <c r="I146" s="317">
        <f t="shared" si="32"/>
        <v>292.97393483674841</v>
      </c>
      <c r="J146" s="162">
        <f t="shared" si="33"/>
        <v>0</v>
      </c>
      <c r="K146" s="162"/>
      <c r="L146" s="335"/>
      <c r="M146" s="162">
        <f t="shared" si="34"/>
        <v>0</v>
      </c>
      <c r="N146" s="335"/>
      <c r="O146" s="162">
        <f t="shared" si="35"/>
        <v>0</v>
      </c>
      <c r="P146" s="162">
        <f t="shared" si="36"/>
        <v>0</v>
      </c>
    </row>
    <row r="147" spans="2:16">
      <c r="B147" s="9" t="str">
        <f t="shared" si="24"/>
        <v/>
      </c>
      <c r="C147" s="157">
        <f>IF(D93="","-",+C146+1)</f>
        <v>2058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7"/>
        <v>0</v>
      </c>
      <c r="G147" s="163">
        <f t="shared" si="38"/>
        <v>0</v>
      </c>
      <c r="H147" s="167">
        <f t="shared" si="31"/>
        <v>0</v>
      </c>
      <c r="I147" s="317">
        <f t="shared" si="32"/>
        <v>0</v>
      </c>
      <c r="J147" s="162">
        <f t="shared" si="33"/>
        <v>0</v>
      </c>
      <c r="K147" s="162"/>
      <c r="L147" s="335"/>
      <c r="M147" s="162">
        <f t="shared" si="34"/>
        <v>0</v>
      </c>
      <c r="N147" s="335"/>
      <c r="O147" s="162">
        <f t="shared" si="35"/>
        <v>0</v>
      </c>
      <c r="P147" s="162">
        <f t="shared" si="36"/>
        <v>0</v>
      </c>
    </row>
    <row r="148" spans="2:16">
      <c r="B148" s="9" t="str">
        <f t="shared" si="24"/>
        <v/>
      </c>
      <c r="C148" s="157">
        <f>IF(D93="","-",+C147+1)</f>
        <v>2059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7"/>
        <v>0</v>
      </c>
      <c r="G148" s="163">
        <f t="shared" si="38"/>
        <v>0</v>
      </c>
      <c r="H148" s="167">
        <f t="shared" si="31"/>
        <v>0</v>
      </c>
      <c r="I148" s="317">
        <f t="shared" si="32"/>
        <v>0</v>
      </c>
      <c r="J148" s="162">
        <f t="shared" si="33"/>
        <v>0</v>
      </c>
      <c r="K148" s="162"/>
      <c r="L148" s="335"/>
      <c r="M148" s="162">
        <f t="shared" si="34"/>
        <v>0</v>
      </c>
      <c r="N148" s="335"/>
      <c r="O148" s="162">
        <f t="shared" si="35"/>
        <v>0</v>
      </c>
      <c r="P148" s="162">
        <f t="shared" si="36"/>
        <v>0</v>
      </c>
    </row>
    <row r="149" spans="2:16">
      <c r="B149" s="9" t="str">
        <f t="shared" si="24"/>
        <v/>
      </c>
      <c r="C149" s="157">
        <f>IF(D93="","-",+C148+1)</f>
        <v>2060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7"/>
        <v>0</v>
      </c>
      <c r="G149" s="163">
        <f t="shared" si="38"/>
        <v>0</v>
      </c>
      <c r="H149" s="167">
        <f t="shared" si="31"/>
        <v>0</v>
      </c>
      <c r="I149" s="317">
        <f t="shared" si="32"/>
        <v>0</v>
      </c>
      <c r="J149" s="162">
        <f t="shared" si="33"/>
        <v>0</v>
      </c>
      <c r="K149" s="162"/>
      <c r="L149" s="335"/>
      <c r="M149" s="162">
        <f t="shared" si="34"/>
        <v>0</v>
      </c>
      <c r="N149" s="335"/>
      <c r="O149" s="162">
        <f t="shared" si="35"/>
        <v>0</v>
      </c>
      <c r="P149" s="162">
        <f t="shared" si="36"/>
        <v>0</v>
      </c>
    </row>
    <row r="150" spans="2:16">
      <c r="B150" s="9" t="str">
        <f t="shared" si="24"/>
        <v/>
      </c>
      <c r="C150" s="157">
        <f>IF(D93="","-",+C149+1)</f>
        <v>2061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7"/>
        <v>0</v>
      </c>
      <c r="G150" s="163">
        <f t="shared" si="38"/>
        <v>0</v>
      </c>
      <c r="H150" s="167">
        <f t="shared" si="31"/>
        <v>0</v>
      </c>
      <c r="I150" s="317">
        <f t="shared" si="32"/>
        <v>0</v>
      </c>
      <c r="J150" s="162">
        <f t="shared" si="33"/>
        <v>0</v>
      </c>
      <c r="K150" s="162"/>
      <c r="L150" s="335"/>
      <c r="M150" s="162">
        <f t="shared" si="34"/>
        <v>0</v>
      </c>
      <c r="N150" s="335"/>
      <c r="O150" s="162">
        <f t="shared" si="35"/>
        <v>0</v>
      </c>
      <c r="P150" s="162">
        <f t="shared" si="36"/>
        <v>0</v>
      </c>
    </row>
    <row r="151" spans="2:16">
      <c r="B151" s="9" t="str">
        <f t="shared" si="24"/>
        <v/>
      </c>
      <c r="C151" s="157">
        <f>IF(D93="","-",+C150+1)</f>
        <v>2062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7"/>
        <v>0</v>
      </c>
      <c r="G151" s="163">
        <f t="shared" si="38"/>
        <v>0</v>
      </c>
      <c r="H151" s="167">
        <f t="shared" si="31"/>
        <v>0</v>
      </c>
      <c r="I151" s="317">
        <f t="shared" si="32"/>
        <v>0</v>
      </c>
      <c r="J151" s="162">
        <f t="shared" si="33"/>
        <v>0</v>
      </c>
      <c r="K151" s="162"/>
      <c r="L151" s="335"/>
      <c r="M151" s="162">
        <f t="shared" si="34"/>
        <v>0</v>
      </c>
      <c r="N151" s="335"/>
      <c r="O151" s="162">
        <f t="shared" si="35"/>
        <v>0</v>
      </c>
      <c r="P151" s="162">
        <f t="shared" si="36"/>
        <v>0</v>
      </c>
    </row>
    <row r="152" spans="2:16">
      <c r="B152" s="9" t="str">
        <f t="shared" si="24"/>
        <v/>
      </c>
      <c r="C152" s="157">
        <f>IF(D93="","-",+C151+1)</f>
        <v>2063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7"/>
        <v>0</v>
      </c>
      <c r="G152" s="163">
        <f t="shared" si="38"/>
        <v>0</v>
      </c>
      <c r="H152" s="167">
        <f t="shared" si="31"/>
        <v>0</v>
      </c>
      <c r="I152" s="317">
        <f t="shared" si="32"/>
        <v>0</v>
      </c>
      <c r="J152" s="162">
        <f t="shared" si="33"/>
        <v>0</v>
      </c>
      <c r="K152" s="162"/>
      <c r="L152" s="335"/>
      <c r="M152" s="162">
        <f t="shared" si="34"/>
        <v>0</v>
      </c>
      <c r="N152" s="335"/>
      <c r="O152" s="162">
        <f t="shared" si="35"/>
        <v>0</v>
      </c>
      <c r="P152" s="162">
        <f t="shared" si="36"/>
        <v>0</v>
      </c>
    </row>
    <row r="153" spans="2:16">
      <c r="B153" s="9" t="str">
        <f t="shared" si="24"/>
        <v/>
      </c>
      <c r="C153" s="157">
        <f>IF(D93="","-",+C152+1)</f>
        <v>2064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7"/>
        <v>0</v>
      </c>
      <c r="G153" s="163">
        <f t="shared" si="38"/>
        <v>0</v>
      </c>
      <c r="H153" s="167">
        <f t="shared" si="31"/>
        <v>0</v>
      </c>
      <c r="I153" s="317">
        <f t="shared" si="32"/>
        <v>0</v>
      </c>
      <c r="J153" s="162">
        <f t="shared" si="33"/>
        <v>0</v>
      </c>
      <c r="K153" s="162"/>
      <c r="L153" s="335"/>
      <c r="M153" s="162">
        <f t="shared" si="34"/>
        <v>0</v>
      </c>
      <c r="N153" s="335"/>
      <c r="O153" s="162">
        <f t="shared" si="35"/>
        <v>0</v>
      </c>
      <c r="P153" s="162">
        <f t="shared" si="36"/>
        <v>0</v>
      </c>
    </row>
    <row r="154" spans="2:16" ht="13.5" thickBot="1">
      <c r="B154" s="9" t="str">
        <f t="shared" si="24"/>
        <v/>
      </c>
      <c r="C154" s="168">
        <f>IF(D93="","-",+C153+1)</f>
        <v>2065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37"/>
        <v>0</v>
      </c>
      <c r="G154" s="169">
        <f t="shared" si="38"/>
        <v>0</v>
      </c>
      <c r="H154" s="171">
        <f t="shared" si="31"/>
        <v>0</v>
      </c>
      <c r="I154" s="318">
        <f t="shared" si="32"/>
        <v>0</v>
      </c>
      <c r="J154" s="173">
        <f t="shared" si="33"/>
        <v>0</v>
      </c>
      <c r="K154" s="162"/>
      <c r="L154" s="336"/>
      <c r="M154" s="173">
        <f t="shared" si="34"/>
        <v>0</v>
      </c>
      <c r="N154" s="336"/>
      <c r="O154" s="173">
        <f t="shared" si="35"/>
        <v>0</v>
      </c>
      <c r="P154" s="173">
        <f t="shared" si="36"/>
        <v>0</v>
      </c>
    </row>
    <row r="155" spans="2:16">
      <c r="C155" s="158" t="s">
        <v>72</v>
      </c>
      <c r="D155" s="115"/>
      <c r="E155" s="115">
        <f>SUM(E99:E154)</f>
        <v>96566</v>
      </c>
      <c r="F155" s="115"/>
      <c r="G155" s="115"/>
      <c r="H155" s="115">
        <f>SUM(H99:H154)</f>
        <v>393800.44692321058</v>
      </c>
      <c r="I155" s="115">
        <f>SUM(I99:I154)</f>
        <v>393800.44692321058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0" priority="1" stopIfTrue="1" operator="equal">
      <formula>$I$10</formula>
    </cfRule>
  </conditionalFormatting>
  <conditionalFormatting sqref="C99:C154">
    <cfRule type="cellIs" dxfId="39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1">
    <tabColor rgb="FF92D050"/>
  </sheetPr>
  <dimension ref="A1:P162"/>
  <sheetViews>
    <sheetView view="pageBreakPreview" zoomScale="75" zoomScaleNormal="10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3" width="17.7109375" customWidth="1"/>
    <col min="14" max="14" width="16.7109375" customWidth="1"/>
    <col min="15" max="15" width="18.4257812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11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6.5" thickBot="1">
      <c r="C4" s="431" t="s">
        <v>253</v>
      </c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170092.36319375399</v>
      </c>
      <c r="P5" s="1"/>
    </row>
    <row r="6" spans="1:16" ht="15.75">
      <c r="C6" s="430" t="s">
        <v>254</v>
      </c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170092.36319375399</v>
      </c>
      <c r="O6" s="1"/>
      <c r="P6" s="1"/>
    </row>
    <row r="7" spans="1:16" ht="13.5" thickBot="1">
      <c r="C7" s="127" t="s">
        <v>41</v>
      </c>
      <c r="D7" s="343" t="s">
        <v>219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5.75" thickBot="1">
      <c r="C8" s="429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218</v>
      </c>
      <c r="E9" s="428" t="s">
        <v>311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f>1493723*94%</f>
        <v>1404099.6199999999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2011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35102.4905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2011</v>
      </c>
      <c r="D17" s="366">
        <v>1624000</v>
      </c>
      <c r="E17" s="367">
        <v>15921.568627450981</v>
      </c>
      <c r="F17" s="366">
        <v>1608078.4313725489</v>
      </c>
      <c r="G17" s="367">
        <v>267655.54041850357</v>
      </c>
      <c r="H17" s="370">
        <v>267655.54041850357</v>
      </c>
      <c r="I17" s="160">
        <f>H17-G17</f>
        <v>0</v>
      </c>
      <c r="J17" s="160"/>
      <c r="K17" s="337">
        <f t="shared" ref="K17:K22" si="0">G17</f>
        <v>267655.54041850357</v>
      </c>
      <c r="L17" s="176">
        <f t="shared" ref="L17:L48" si="1">IF(K17&lt;&gt;0,+G17-K17,0)</f>
        <v>0</v>
      </c>
      <c r="M17" s="337">
        <f t="shared" ref="M17:M22" si="2">H17</f>
        <v>267655.54041850357</v>
      </c>
      <c r="N17" s="161">
        <f t="shared" ref="N17:N48" si="3">IF(M17&lt;&gt;0,+H17-M17,0)</f>
        <v>0</v>
      </c>
      <c r="O17" s="162">
        <f t="shared" ref="O17:O48" si="4">+N17-L17</f>
        <v>0</v>
      </c>
      <c r="P17" s="4"/>
    </row>
    <row r="18" spans="2:16">
      <c r="B18" s="9" t="str">
        <f t="shared" ref="B18:B49" si="5">IF(D18=F17,"","IU")</f>
        <v>IU</v>
      </c>
      <c r="C18" s="157">
        <f>IF(D11="","-",+C17+1)</f>
        <v>2012</v>
      </c>
      <c r="D18" s="371">
        <v>1420815.4313725489</v>
      </c>
      <c r="E18" s="368">
        <v>27629.557692307691</v>
      </c>
      <c r="F18" s="371">
        <v>1393185.8736802412</v>
      </c>
      <c r="G18" s="368">
        <v>221570.55769230769</v>
      </c>
      <c r="H18" s="370">
        <v>221570.55769230769</v>
      </c>
      <c r="I18" s="160">
        <f t="shared" ref="I18:I48" si="6">H18-G18</f>
        <v>0</v>
      </c>
      <c r="J18" s="160"/>
      <c r="K18" s="338">
        <f t="shared" si="0"/>
        <v>221570.55769230769</v>
      </c>
      <c r="L18" s="272">
        <f t="shared" si="1"/>
        <v>0</v>
      </c>
      <c r="M18" s="338">
        <f t="shared" si="2"/>
        <v>221570.55769230769</v>
      </c>
      <c r="N18" s="162">
        <f t="shared" si="3"/>
        <v>0</v>
      </c>
      <c r="O18" s="162">
        <f t="shared" si="4"/>
        <v>0</v>
      </c>
      <c r="P18" s="4"/>
    </row>
    <row r="19" spans="2:16">
      <c r="B19" s="9" t="str">
        <f t="shared" si="5"/>
        <v>IU</v>
      </c>
      <c r="C19" s="157">
        <f>IF(D11="","-",+C18+1)</f>
        <v>2013</v>
      </c>
      <c r="D19" s="371">
        <v>1450171.8736802414</v>
      </c>
      <c r="E19" s="368">
        <v>28725.442307692309</v>
      </c>
      <c r="F19" s="371">
        <v>1421446.4313725492</v>
      </c>
      <c r="G19" s="368">
        <v>231717.44230769231</v>
      </c>
      <c r="H19" s="370">
        <v>231717.44230769231</v>
      </c>
      <c r="I19" s="160">
        <v>0</v>
      </c>
      <c r="J19" s="160"/>
      <c r="K19" s="338">
        <f t="shared" si="0"/>
        <v>231717.44230769231</v>
      </c>
      <c r="L19" s="272">
        <f t="shared" ref="L19:L24" si="7">IF(K19&lt;&gt;0,+G19-K19,0)</f>
        <v>0</v>
      </c>
      <c r="M19" s="338">
        <f t="shared" si="2"/>
        <v>231717.44230769231</v>
      </c>
      <c r="N19" s="162">
        <f t="shared" ref="N19:N24" si="8">IF(M19&lt;&gt;0,+H19-M19,0)</f>
        <v>0</v>
      </c>
      <c r="O19" s="162">
        <f t="shared" ref="O19:O24" si="9">+N19-L19</f>
        <v>0</v>
      </c>
      <c r="P19" s="4"/>
    </row>
    <row r="20" spans="2:16">
      <c r="B20" s="9" t="str">
        <f t="shared" si="5"/>
        <v>IU</v>
      </c>
      <c r="C20" s="157">
        <f>IF(D11="","-",+C19+1)</f>
        <v>2014</v>
      </c>
      <c r="D20" s="371">
        <v>1331823.0513725488</v>
      </c>
      <c r="E20" s="368">
        <v>27001.915769230767</v>
      </c>
      <c r="F20" s="371">
        <v>1304821.135603318</v>
      </c>
      <c r="G20" s="368">
        <v>206621.91576923078</v>
      </c>
      <c r="H20" s="370">
        <v>206621.91576923078</v>
      </c>
      <c r="I20" s="160">
        <v>0</v>
      </c>
      <c r="J20" s="160"/>
      <c r="K20" s="338">
        <f t="shared" si="0"/>
        <v>206621.91576923078</v>
      </c>
      <c r="L20" s="272">
        <f t="shared" si="7"/>
        <v>0</v>
      </c>
      <c r="M20" s="338">
        <f t="shared" si="2"/>
        <v>206621.91576923078</v>
      </c>
      <c r="N20" s="162">
        <f t="shared" si="8"/>
        <v>0</v>
      </c>
      <c r="O20" s="162">
        <f t="shared" si="9"/>
        <v>0</v>
      </c>
      <c r="P20" s="4"/>
    </row>
    <row r="21" spans="2:16">
      <c r="B21" s="9" t="str">
        <f t="shared" si="5"/>
        <v/>
      </c>
      <c r="C21" s="157">
        <f>IF(D11="","-",+C20+1)</f>
        <v>2015</v>
      </c>
      <c r="D21" s="371">
        <v>1304821.135603318</v>
      </c>
      <c r="E21" s="368">
        <v>27001.915769230767</v>
      </c>
      <c r="F21" s="371">
        <v>1277819.2198340872</v>
      </c>
      <c r="G21" s="368">
        <v>203176.91576923078</v>
      </c>
      <c r="H21" s="370">
        <v>203176.91576923078</v>
      </c>
      <c r="I21" s="160">
        <v>0</v>
      </c>
      <c r="J21" s="160"/>
      <c r="K21" s="338">
        <f t="shared" si="0"/>
        <v>203176.91576923078</v>
      </c>
      <c r="L21" s="272">
        <f t="shared" si="7"/>
        <v>0</v>
      </c>
      <c r="M21" s="338">
        <f t="shared" si="2"/>
        <v>203176.91576923078</v>
      </c>
      <c r="N21" s="162">
        <f t="shared" si="8"/>
        <v>0</v>
      </c>
      <c r="O21" s="162">
        <f t="shared" si="9"/>
        <v>0</v>
      </c>
      <c r="P21" s="4"/>
    </row>
    <row r="22" spans="2:16">
      <c r="B22" s="9" t="str">
        <f t="shared" si="5"/>
        <v/>
      </c>
      <c r="C22" s="157">
        <f>IF(D11="","-",+C21+1)</f>
        <v>2016</v>
      </c>
      <c r="D22" s="371">
        <v>1277819.2198340872</v>
      </c>
      <c r="E22" s="368">
        <v>27001.915769230767</v>
      </c>
      <c r="F22" s="371">
        <v>1250817.3040648564</v>
      </c>
      <c r="G22" s="368">
        <v>191058.91576923078</v>
      </c>
      <c r="H22" s="370">
        <v>191058.91576923078</v>
      </c>
      <c r="I22" s="160">
        <f t="shared" si="6"/>
        <v>0</v>
      </c>
      <c r="J22" s="160"/>
      <c r="K22" s="338">
        <f t="shared" si="0"/>
        <v>191058.91576923078</v>
      </c>
      <c r="L22" s="272">
        <f t="shared" si="7"/>
        <v>0</v>
      </c>
      <c r="M22" s="338">
        <f t="shared" si="2"/>
        <v>191058.91576923078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5"/>
        <v/>
      </c>
      <c r="C23" s="157">
        <f>IF(D11="","-",+C22+1)</f>
        <v>2017</v>
      </c>
      <c r="D23" s="371">
        <v>1250817.3040648564</v>
      </c>
      <c r="E23" s="368">
        <v>30523.904782608693</v>
      </c>
      <c r="F23" s="371">
        <v>1220293.3992822478</v>
      </c>
      <c r="G23" s="368">
        <v>185818.9047826087</v>
      </c>
      <c r="H23" s="370">
        <v>185818.9047826087</v>
      </c>
      <c r="I23" s="160">
        <v>0</v>
      </c>
      <c r="J23" s="160"/>
      <c r="K23" s="338">
        <f>G23</f>
        <v>185818.9047826087</v>
      </c>
      <c r="L23" s="272">
        <f t="shared" si="7"/>
        <v>0</v>
      </c>
      <c r="M23" s="338">
        <f>H23</f>
        <v>185818.9047826087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5"/>
        <v/>
      </c>
      <c r="C24" s="157">
        <f>IF(D11="","-",+C23+1)</f>
        <v>2018</v>
      </c>
      <c r="D24" s="371">
        <v>1220293.3992822478</v>
      </c>
      <c r="E24" s="368">
        <v>31202.213777777775</v>
      </c>
      <c r="F24" s="371">
        <v>1189091.18550447</v>
      </c>
      <c r="G24" s="368">
        <v>175474.88659362236</v>
      </c>
      <c r="H24" s="370">
        <v>175474.88659362236</v>
      </c>
      <c r="I24" s="160">
        <f t="shared" si="6"/>
        <v>0</v>
      </c>
      <c r="J24" s="160"/>
      <c r="K24" s="338">
        <f>G24</f>
        <v>175474.88659362236</v>
      </c>
      <c r="L24" s="272">
        <f t="shared" si="7"/>
        <v>0</v>
      </c>
      <c r="M24" s="338">
        <f>H24</f>
        <v>175474.88659362236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5"/>
        <v/>
      </c>
      <c r="C25" s="157">
        <f>IF(D11="","-",+C24+1)</f>
        <v>2019</v>
      </c>
      <c r="D25" s="163">
        <f>IF(F24+SUM(E$17:E24)=D$10,F24,D$10-SUM(E$17:E24))</f>
        <v>1189091.18550447</v>
      </c>
      <c r="E25" s="164">
        <f>IF(+I14&lt;F24,I14,D25)</f>
        <v>35102.4905</v>
      </c>
      <c r="F25" s="163">
        <f t="shared" ref="F25:F49" si="10">+D25-E25</f>
        <v>1153988.6950044699</v>
      </c>
      <c r="G25" s="165">
        <f t="shared" ref="G25:G72" si="11">(D25+F25)/2*I$12+E25</f>
        <v>170092.36319375399</v>
      </c>
      <c r="H25" s="147">
        <f t="shared" ref="H25:H72" si="12">+(D25+F25)/2*I$13+E25</f>
        <v>170092.36319375399</v>
      </c>
      <c r="I25" s="160">
        <f t="shared" si="6"/>
        <v>0</v>
      </c>
      <c r="J25" s="160"/>
      <c r="K25" s="335"/>
      <c r="L25" s="162">
        <f t="shared" si="1"/>
        <v>0</v>
      </c>
      <c r="M25" s="335"/>
      <c r="N25" s="162">
        <f t="shared" si="3"/>
        <v>0</v>
      </c>
      <c r="O25" s="162">
        <f t="shared" si="4"/>
        <v>0</v>
      </c>
      <c r="P25" s="4"/>
    </row>
    <row r="26" spans="2:16">
      <c r="B26" s="9" t="str">
        <f t="shared" si="5"/>
        <v/>
      </c>
      <c r="C26" s="157">
        <f>IF(D11="","-",+C25+1)</f>
        <v>2020</v>
      </c>
      <c r="D26" s="163">
        <f>IF(F25+SUM(E$17:E25)=D$10,F25,D$10-SUM(E$17:E25))</f>
        <v>1153988.6950044699</v>
      </c>
      <c r="E26" s="164">
        <f>IF(+I14&lt;F25,I14,D26)</f>
        <v>35102.4905</v>
      </c>
      <c r="F26" s="163">
        <f t="shared" si="10"/>
        <v>1118886.2045044699</v>
      </c>
      <c r="G26" s="165">
        <f t="shared" si="11"/>
        <v>166047.70320307586</v>
      </c>
      <c r="H26" s="147">
        <f t="shared" si="12"/>
        <v>166047.70320307586</v>
      </c>
      <c r="I26" s="160">
        <f t="shared" si="6"/>
        <v>0</v>
      </c>
      <c r="J26" s="160"/>
      <c r="K26" s="335"/>
      <c r="L26" s="162">
        <f t="shared" si="1"/>
        <v>0</v>
      </c>
      <c r="M26" s="335"/>
      <c r="N26" s="162">
        <f t="shared" si="3"/>
        <v>0</v>
      </c>
      <c r="O26" s="162">
        <f t="shared" si="4"/>
        <v>0</v>
      </c>
      <c r="P26" s="4"/>
    </row>
    <row r="27" spans="2:16">
      <c r="B27" s="9" t="str">
        <f t="shared" si="5"/>
        <v/>
      </c>
      <c r="C27" s="157">
        <f>IF(D11="","-",+C26+1)</f>
        <v>2021</v>
      </c>
      <c r="D27" s="166">
        <f>IF(F26+SUM(E$17:E26)=D$10,F26,D$10-SUM(E$17:E26))</f>
        <v>1118886.2045044699</v>
      </c>
      <c r="E27" s="164">
        <f>IF(+I14&lt;F26,I14,D27)</f>
        <v>35102.4905</v>
      </c>
      <c r="F27" s="163">
        <f t="shared" si="10"/>
        <v>1083783.7140044698</v>
      </c>
      <c r="G27" s="165">
        <f t="shared" si="11"/>
        <v>162003.04321239766</v>
      </c>
      <c r="H27" s="147">
        <f t="shared" si="12"/>
        <v>162003.04321239766</v>
      </c>
      <c r="I27" s="160">
        <f t="shared" si="6"/>
        <v>0</v>
      </c>
      <c r="J27" s="160"/>
      <c r="K27" s="335"/>
      <c r="L27" s="162">
        <f t="shared" si="1"/>
        <v>0</v>
      </c>
      <c r="M27" s="335"/>
      <c r="N27" s="162">
        <f t="shared" si="3"/>
        <v>0</v>
      </c>
      <c r="O27" s="162">
        <f t="shared" si="4"/>
        <v>0</v>
      </c>
      <c r="P27" s="4"/>
    </row>
    <row r="28" spans="2:16">
      <c r="B28" s="9" t="str">
        <f t="shared" si="5"/>
        <v/>
      </c>
      <c r="C28" s="157">
        <f>IF(D11="","-",+C27+1)</f>
        <v>2022</v>
      </c>
      <c r="D28" s="163">
        <f>IF(F27+SUM(E$17:E27)=D$10,F27,D$10-SUM(E$17:E27))</f>
        <v>1083783.7140044698</v>
      </c>
      <c r="E28" s="164">
        <f>IF(+I14&lt;F27,I14,D28)</f>
        <v>35102.4905</v>
      </c>
      <c r="F28" s="163">
        <f t="shared" si="10"/>
        <v>1048681.2235044697</v>
      </c>
      <c r="G28" s="165">
        <f t="shared" si="11"/>
        <v>157958.38322171956</v>
      </c>
      <c r="H28" s="147">
        <f t="shared" si="12"/>
        <v>157958.38322171956</v>
      </c>
      <c r="I28" s="160">
        <f t="shared" si="6"/>
        <v>0</v>
      </c>
      <c r="J28" s="160"/>
      <c r="K28" s="335"/>
      <c r="L28" s="162">
        <f t="shared" si="1"/>
        <v>0</v>
      </c>
      <c r="M28" s="335"/>
      <c r="N28" s="162">
        <f t="shared" si="3"/>
        <v>0</v>
      </c>
      <c r="O28" s="162">
        <f t="shared" si="4"/>
        <v>0</v>
      </c>
      <c r="P28" s="4"/>
    </row>
    <row r="29" spans="2:16">
      <c r="B29" s="9" t="str">
        <f t="shared" si="5"/>
        <v/>
      </c>
      <c r="C29" s="157">
        <f>IF(D11="","-",+C28+1)</f>
        <v>2023</v>
      </c>
      <c r="D29" s="163">
        <f>IF(F28+SUM(E$17:E28)=D$10,F28,D$10-SUM(E$17:E28))</f>
        <v>1048681.2235044697</v>
      </c>
      <c r="E29" s="164">
        <f>IF(+I14&lt;F28,I14,D29)</f>
        <v>35102.4905</v>
      </c>
      <c r="F29" s="163">
        <f t="shared" si="10"/>
        <v>1013578.7330044698</v>
      </c>
      <c r="G29" s="165">
        <f t="shared" si="11"/>
        <v>153913.7232310414</v>
      </c>
      <c r="H29" s="147">
        <f t="shared" si="12"/>
        <v>153913.7232310414</v>
      </c>
      <c r="I29" s="160">
        <f t="shared" si="6"/>
        <v>0</v>
      </c>
      <c r="J29" s="160"/>
      <c r="K29" s="335"/>
      <c r="L29" s="162">
        <f t="shared" si="1"/>
        <v>0</v>
      </c>
      <c r="M29" s="335"/>
      <c r="N29" s="162">
        <f t="shared" si="3"/>
        <v>0</v>
      </c>
      <c r="O29" s="162">
        <f t="shared" si="4"/>
        <v>0</v>
      </c>
      <c r="P29" s="4"/>
    </row>
    <row r="30" spans="2:16">
      <c r="B30" s="9" t="str">
        <f t="shared" si="5"/>
        <v/>
      </c>
      <c r="C30" s="157">
        <f>IF(D11="","-",+C29+1)</f>
        <v>2024</v>
      </c>
      <c r="D30" s="163">
        <f>IF(F29+SUM(E$17:E29)=D$10,F29,D$10-SUM(E$17:E29))</f>
        <v>1013578.7330044698</v>
      </c>
      <c r="E30" s="164">
        <f>IF(+I14&lt;F29,I14,D30)</f>
        <v>35102.4905</v>
      </c>
      <c r="F30" s="163">
        <f t="shared" si="10"/>
        <v>978476.24250446982</v>
      </c>
      <c r="G30" s="165">
        <f t="shared" si="11"/>
        <v>149869.06324036326</v>
      </c>
      <c r="H30" s="147">
        <f t="shared" si="12"/>
        <v>149869.06324036326</v>
      </c>
      <c r="I30" s="160">
        <f t="shared" si="6"/>
        <v>0</v>
      </c>
      <c r="J30" s="160"/>
      <c r="K30" s="335"/>
      <c r="L30" s="162">
        <f t="shared" si="1"/>
        <v>0</v>
      </c>
      <c r="M30" s="335"/>
      <c r="N30" s="162">
        <f t="shared" si="3"/>
        <v>0</v>
      </c>
      <c r="O30" s="162">
        <f t="shared" si="4"/>
        <v>0</v>
      </c>
      <c r="P30" s="4"/>
    </row>
    <row r="31" spans="2:16">
      <c r="B31" s="9" t="str">
        <f t="shared" si="5"/>
        <v/>
      </c>
      <c r="C31" s="157">
        <f>IF(D11="","-",+C30+1)</f>
        <v>2025</v>
      </c>
      <c r="D31" s="163">
        <f>IF(F30+SUM(E$17:E30)=D$10,F30,D$10-SUM(E$17:E30))</f>
        <v>978476.24250446982</v>
      </c>
      <c r="E31" s="164">
        <f>IF(+I14&lt;F30,I14,D31)</f>
        <v>35102.4905</v>
      </c>
      <c r="F31" s="163">
        <f t="shared" si="10"/>
        <v>943373.75200446986</v>
      </c>
      <c r="G31" s="165">
        <f t="shared" si="11"/>
        <v>145824.40324968513</v>
      </c>
      <c r="H31" s="147">
        <f t="shared" si="12"/>
        <v>145824.40324968513</v>
      </c>
      <c r="I31" s="160">
        <f t="shared" si="6"/>
        <v>0</v>
      </c>
      <c r="J31" s="160"/>
      <c r="K31" s="335"/>
      <c r="L31" s="162">
        <f t="shared" si="1"/>
        <v>0</v>
      </c>
      <c r="M31" s="335"/>
      <c r="N31" s="162">
        <f t="shared" si="3"/>
        <v>0</v>
      </c>
      <c r="O31" s="162">
        <f t="shared" si="4"/>
        <v>0</v>
      </c>
      <c r="P31" s="4"/>
    </row>
    <row r="32" spans="2:16">
      <c r="B32" s="9" t="str">
        <f t="shared" si="5"/>
        <v/>
      </c>
      <c r="C32" s="157">
        <f>IF(D11="","-",+C31+1)</f>
        <v>2026</v>
      </c>
      <c r="D32" s="163">
        <f>IF(F31+SUM(E$17:E31)=D$10,F31,D$10-SUM(E$17:E31))</f>
        <v>943373.75200446986</v>
      </c>
      <c r="E32" s="164">
        <f>IF(+I14&lt;F31,I14,D32)</f>
        <v>35102.4905</v>
      </c>
      <c r="F32" s="163">
        <f t="shared" si="10"/>
        <v>908271.26150446991</v>
      </c>
      <c r="G32" s="165">
        <f t="shared" si="11"/>
        <v>141779.74325900699</v>
      </c>
      <c r="H32" s="147">
        <f t="shared" si="12"/>
        <v>141779.74325900699</v>
      </c>
      <c r="I32" s="160">
        <f t="shared" si="6"/>
        <v>0</v>
      </c>
      <c r="J32" s="160"/>
      <c r="K32" s="335"/>
      <c r="L32" s="162">
        <f t="shared" si="1"/>
        <v>0</v>
      </c>
      <c r="M32" s="335"/>
      <c r="N32" s="162">
        <f t="shared" si="3"/>
        <v>0</v>
      </c>
      <c r="O32" s="162">
        <f t="shared" si="4"/>
        <v>0</v>
      </c>
      <c r="P32" s="4"/>
    </row>
    <row r="33" spans="2:16">
      <c r="B33" s="9" t="str">
        <f t="shared" si="5"/>
        <v/>
      </c>
      <c r="C33" s="157">
        <f>IF(D11="","-",+C32+1)</f>
        <v>2027</v>
      </c>
      <c r="D33" s="163">
        <f>IF(F32+SUM(E$17:E32)=D$10,F32,D$10-SUM(E$17:E32))</f>
        <v>908271.26150446991</v>
      </c>
      <c r="E33" s="164">
        <f>IF(+I14&lt;F32,I14,D33)</f>
        <v>35102.4905</v>
      </c>
      <c r="F33" s="163">
        <f t="shared" si="10"/>
        <v>873168.77100446995</v>
      </c>
      <c r="G33" s="165">
        <f t="shared" si="11"/>
        <v>137735.08326832889</v>
      </c>
      <c r="H33" s="147">
        <f t="shared" si="12"/>
        <v>137735.08326832889</v>
      </c>
      <c r="I33" s="160">
        <f t="shared" si="6"/>
        <v>0</v>
      </c>
      <c r="J33" s="160"/>
      <c r="K33" s="335"/>
      <c r="L33" s="162">
        <f t="shared" si="1"/>
        <v>0</v>
      </c>
      <c r="M33" s="335"/>
      <c r="N33" s="162">
        <f t="shared" si="3"/>
        <v>0</v>
      </c>
      <c r="O33" s="162">
        <f t="shared" si="4"/>
        <v>0</v>
      </c>
      <c r="P33" s="4"/>
    </row>
    <row r="34" spans="2:16">
      <c r="B34" s="9" t="str">
        <f t="shared" si="5"/>
        <v/>
      </c>
      <c r="C34" s="157">
        <f>IF(D11="","-",+C33+1)</f>
        <v>2028</v>
      </c>
      <c r="D34" s="163">
        <f>IF(F33+SUM(E$17:E33)=D$10,F33,D$10-SUM(E$17:E33))</f>
        <v>873168.77100446995</v>
      </c>
      <c r="E34" s="164">
        <f>IF(+I14&lt;F33,I14,D34)</f>
        <v>35102.4905</v>
      </c>
      <c r="F34" s="163">
        <f t="shared" si="10"/>
        <v>838066.28050446999</v>
      </c>
      <c r="G34" s="165">
        <f t="shared" si="11"/>
        <v>133690.42327765073</v>
      </c>
      <c r="H34" s="147">
        <f t="shared" si="12"/>
        <v>133690.42327765073</v>
      </c>
      <c r="I34" s="160">
        <f t="shared" si="6"/>
        <v>0</v>
      </c>
      <c r="J34" s="160"/>
      <c r="K34" s="335"/>
      <c r="L34" s="162">
        <f t="shared" si="1"/>
        <v>0</v>
      </c>
      <c r="M34" s="335"/>
      <c r="N34" s="162">
        <f t="shared" si="3"/>
        <v>0</v>
      </c>
      <c r="O34" s="162">
        <f t="shared" si="4"/>
        <v>0</v>
      </c>
      <c r="P34" s="4"/>
    </row>
    <row r="35" spans="2:16">
      <c r="B35" s="9" t="str">
        <f t="shared" si="5"/>
        <v/>
      </c>
      <c r="C35" s="157">
        <f>IF(D11="","-",+C34+1)</f>
        <v>2029</v>
      </c>
      <c r="D35" s="163">
        <f>IF(F34+SUM(E$17:E34)=D$10,F34,D$10-SUM(E$17:E34))</f>
        <v>838066.28050446999</v>
      </c>
      <c r="E35" s="164">
        <f>IF(+I14&lt;F34,I14,D35)</f>
        <v>35102.4905</v>
      </c>
      <c r="F35" s="163">
        <f t="shared" si="10"/>
        <v>802963.79000447004</v>
      </c>
      <c r="G35" s="165">
        <f t="shared" si="11"/>
        <v>129645.76328697262</v>
      </c>
      <c r="H35" s="147">
        <f t="shared" si="12"/>
        <v>129645.76328697262</v>
      </c>
      <c r="I35" s="160">
        <f t="shared" si="6"/>
        <v>0</v>
      </c>
      <c r="J35" s="160"/>
      <c r="K35" s="335"/>
      <c r="L35" s="162">
        <f t="shared" si="1"/>
        <v>0</v>
      </c>
      <c r="M35" s="335"/>
      <c r="N35" s="162">
        <f t="shared" si="3"/>
        <v>0</v>
      </c>
      <c r="O35" s="162">
        <f t="shared" si="4"/>
        <v>0</v>
      </c>
      <c r="P35" s="4"/>
    </row>
    <row r="36" spans="2:16">
      <c r="B36" s="9" t="str">
        <f t="shared" si="5"/>
        <v/>
      </c>
      <c r="C36" s="157">
        <f>IF(D11="","-",+C35+1)</f>
        <v>2030</v>
      </c>
      <c r="D36" s="163">
        <f>IF(F35+SUM(E$17:E35)=D$10,F35,D$10-SUM(E$17:E35))</f>
        <v>802963.79000447004</v>
      </c>
      <c r="E36" s="164">
        <f>IF(+I14&lt;F35,I14,D36)</f>
        <v>35102.4905</v>
      </c>
      <c r="F36" s="163">
        <f t="shared" si="10"/>
        <v>767861.29950447008</v>
      </c>
      <c r="G36" s="165">
        <f t="shared" si="11"/>
        <v>125601.10329629449</v>
      </c>
      <c r="H36" s="147">
        <f t="shared" si="12"/>
        <v>125601.10329629449</v>
      </c>
      <c r="I36" s="160">
        <f t="shared" si="6"/>
        <v>0</v>
      </c>
      <c r="J36" s="160"/>
      <c r="K36" s="335"/>
      <c r="L36" s="162">
        <f t="shared" si="1"/>
        <v>0</v>
      </c>
      <c r="M36" s="335"/>
      <c r="N36" s="162">
        <f t="shared" si="3"/>
        <v>0</v>
      </c>
      <c r="O36" s="162">
        <f t="shared" si="4"/>
        <v>0</v>
      </c>
      <c r="P36" s="4"/>
    </row>
    <row r="37" spans="2:16">
      <c r="B37" s="9" t="str">
        <f t="shared" si="5"/>
        <v/>
      </c>
      <c r="C37" s="157">
        <f>IF(D11="","-",+C36+1)</f>
        <v>2031</v>
      </c>
      <c r="D37" s="163">
        <f>IF(F36+SUM(E$17:E36)=D$10,F36,D$10-SUM(E$17:E36))</f>
        <v>767861.29950447008</v>
      </c>
      <c r="E37" s="164">
        <f>IF(+I14&lt;F36,I14,D37)</f>
        <v>35102.4905</v>
      </c>
      <c r="F37" s="163">
        <f t="shared" si="10"/>
        <v>732758.80900447012</v>
      </c>
      <c r="G37" s="165">
        <f t="shared" si="11"/>
        <v>121556.44330561637</v>
      </c>
      <c r="H37" s="147">
        <f t="shared" si="12"/>
        <v>121556.44330561637</v>
      </c>
      <c r="I37" s="160">
        <f t="shared" si="6"/>
        <v>0</v>
      </c>
      <c r="J37" s="160"/>
      <c r="K37" s="335"/>
      <c r="L37" s="162">
        <f t="shared" si="1"/>
        <v>0</v>
      </c>
      <c r="M37" s="335"/>
      <c r="N37" s="162">
        <f t="shared" si="3"/>
        <v>0</v>
      </c>
      <c r="O37" s="162">
        <f t="shared" si="4"/>
        <v>0</v>
      </c>
      <c r="P37" s="4"/>
    </row>
    <row r="38" spans="2:16">
      <c r="B38" s="9" t="str">
        <f t="shared" si="5"/>
        <v/>
      </c>
      <c r="C38" s="157">
        <f>IF(D11="","-",+C37+1)</f>
        <v>2032</v>
      </c>
      <c r="D38" s="163">
        <f>IF(F37+SUM(E$17:E37)=D$10,F37,D$10-SUM(E$17:E37))</f>
        <v>732758.80900447012</v>
      </c>
      <c r="E38" s="164">
        <f>IF(+I14&lt;F37,I14,D38)</f>
        <v>35102.4905</v>
      </c>
      <c r="F38" s="163">
        <f t="shared" si="10"/>
        <v>697656.31850447017</v>
      </c>
      <c r="G38" s="165">
        <f t="shared" si="11"/>
        <v>117511.78331493822</v>
      </c>
      <c r="H38" s="147">
        <f t="shared" si="12"/>
        <v>117511.78331493822</v>
      </c>
      <c r="I38" s="160">
        <f t="shared" si="6"/>
        <v>0</v>
      </c>
      <c r="J38" s="160"/>
      <c r="K38" s="335"/>
      <c r="L38" s="162">
        <f t="shared" si="1"/>
        <v>0</v>
      </c>
      <c r="M38" s="335"/>
      <c r="N38" s="162">
        <f t="shared" si="3"/>
        <v>0</v>
      </c>
      <c r="O38" s="162">
        <f t="shared" si="4"/>
        <v>0</v>
      </c>
      <c r="P38" s="4"/>
    </row>
    <row r="39" spans="2:16">
      <c r="B39" s="9" t="str">
        <f t="shared" si="5"/>
        <v/>
      </c>
      <c r="C39" s="157">
        <f>IF(D11="","-",+C38+1)</f>
        <v>2033</v>
      </c>
      <c r="D39" s="163">
        <f>IF(F38+SUM(E$17:E38)=D$10,F38,D$10-SUM(E$17:E38))</f>
        <v>697656.31850447017</v>
      </c>
      <c r="E39" s="164">
        <f>IF(+I14&lt;F38,I14,D39)</f>
        <v>35102.4905</v>
      </c>
      <c r="F39" s="163">
        <f t="shared" si="10"/>
        <v>662553.82800447021</v>
      </c>
      <c r="G39" s="165">
        <f t="shared" si="11"/>
        <v>113467.1233242601</v>
      </c>
      <c r="H39" s="147">
        <f t="shared" si="12"/>
        <v>113467.1233242601</v>
      </c>
      <c r="I39" s="160">
        <f t="shared" si="6"/>
        <v>0</v>
      </c>
      <c r="J39" s="160"/>
      <c r="K39" s="335"/>
      <c r="L39" s="162">
        <f t="shared" si="1"/>
        <v>0</v>
      </c>
      <c r="M39" s="335"/>
      <c r="N39" s="162">
        <f t="shared" si="3"/>
        <v>0</v>
      </c>
      <c r="O39" s="162">
        <f t="shared" si="4"/>
        <v>0</v>
      </c>
      <c r="P39" s="4"/>
    </row>
    <row r="40" spans="2:16">
      <c r="B40" s="9" t="str">
        <f t="shared" si="5"/>
        <v/>
      </c>
      <c r="C40" s="157">
        <f>IF(D11="","-",+C39+1)</f>
        <v>2034</v>
      </c>
      <c r="D40" s="163">
        <f>IF(F39+SUM(E$17:E39)=D$10,F39,D$10-SUM(E$17:E39))</f>
        <v>662553.82800447021</v>
      </c>
      <c r="E40" s="164">
        <f>IF(+I14&lt;F39,I14,D40)</f>
        <v>35102.4905</v>
      </c>
      <c r="F40" s="163">
        <f t="shared" si="10"/>
        <v>627451.33750447026</v>
      </c>
      <c r="G40" s="165">
        <f t="shared" si="11"/>
        <v>109422.46333358197</v>
      </c>
      <c r="H40" s="147">
        <f t="shared" si="12"/>
        <v>109422.46333358197</v>
      </c>
      <c r="I40" s="160">
        <f t="shared" si="6"/>
        <v>0</v>
      </c>
      <c r="J40" s="160"/>
      <c r="K40" s="335"/>
      <c r="L40" s="162">
        <f t="shared" si="1"/>
        <v>0</v>
      </c>
      <c r="M40" s="335"/>
      <c r="N40" s="162">
        <f t="shared" si="3"/>
        <v>0</v>
      </c>
      <c r="O40" s="162">
        <f t="shared" si="4"/>
        <v>0</v>
      </c>
      <c r="P40" s="4"/>
    </row>
    <row r="41" spans="2:16">
      <c r="B41" s="9" t="str">
        <f t="shared" si="5"/>
        <v/>
      </c>
      <c r="C41" s="157">
        <f>IF(D11="","-",+C40+1)</f>
        <v>2035</v>
      </c>
      <c r="D41" s="163">
        <f>IF(F40+SUM(E$17:E40)=D$10,F40,D$10-SUM(E$17:E40))</f>
        <v>627451.33750447026</v>
      </c>
      <c r="E41" s="164">
        <f>IF(+I14&lt;F40,I14,D41)</f>
        <v>35102.4905</v>
      </c>
      <c r="F41" s="163">
        <f t="shared" si="10"/>
        <v>592348.8470044703</v>
      </c>
      <c r="G41" s="165">
        <f t="shared" si="11"/>
        <v>105377.80334290385</v>
      </c>
      <c r="H41" s="147">
        <f t="shared" si="12"/>
        <v>105377.80334290385</v>
      </c>
      <c r="I41" s="160">
        <f t="shared" si="6"/>
        <v>0</v>
      </c>
      <c r="J41" s="160"/>
      <c r="K41" s="335"/>
      <c r="L41" s="162">
        <f t="shared" si="1"/>
        <v>0</v>
      </c>
      <c r="M41" s="335"/>
      <c r="N41" s="162">
        <f t="shared" si="3"/>
        <v>0</v>
      </c>
      <c r="O41" s="162">
        <f t="shared" si="4"/>
        <v>0</v>
      </c>
      <c r="P41" s="4"/>
    </row>
    <row r="42" spans="2:16">
      <c r="B42" s="9" t="str">
        <f t="shared" si="5"/>
        <v/>
      </c>
      <c r="C42" s="157">
        <f>IF(D11="","-",+C41+1)</f>
        <v>2036</v>
      </c>
      <c r="D42" s="163">
        <f>IF(F41+SUM(E$17:E41)=D$10,F41,D$10-SUM(E$17:E41))</f>
        <v>592348.8470044703</v>
      </c>
      <c r="E42" s="164">
        <f>IF(+I14&lt;F41,I14,D42)</f>
        <v>35102.4905</v>
      </c>
      <c r="F42" s="163">
        <f t="shared" si="10"/>
        <v>557246.35650447034</v>
      </c>
      <c r="G42" s="165">
        <f t="shared" si="11"/>
        <v>101333.1433522257</v>
      </c>
      <c r="H42" s="147">
        <f t="shared" si="12"/>
        <v>101333.1433522257</v>
      </c>
      <c r="I42" s="160">
        <f t="shared" si="6"/>
        <v>0</v>
      </c>
      <c r="J42" s="160"/>
      <c r="K42" s="335"/>
      <c r="L42" s="162">
        <f t="shared" si="1"/>
        <v>0</v>
      </c>
      <c r="M42" s="335"/>
      <c r="N42" s="162">
        <f t="shared" si="3"/>
        <v>0</v>
      </c>
      <c r="O42" s="162">
        <f t="shared" si="4"/>
        <v>0</v>
      </c>
      <c r="P42" s="4"/>
    </row>
    <row r="43" spans="2:16">
      <c r="B43" s="9" t="str">
        <f t="shared" si="5"/>
        <v/>
      </c>
      <c r="C43" s="157">
        <f>IF(D11="","-",+C42+1)</f>
        <v>2037</v>
      </c>
      <c r="D43" s="163">
        <f>IF(F42+SUM(E$17:E42)=D$10,F42,D$10-SUM(E$17:E42))</f>
        <v>557246.35650447034</v>
      </c>
      <c r="E43" s="164">
        <f>IF(+I14&lt;F42,I14,D43)</f>
        <v>35102.4905</v>
      </c>
      <c r="F43" s="163">
        <f t="shared" si="10"/>
        <v>522143.86600447033</v>
      </c>
      <c r="G43" s="165">
        <f t="shared" si="11"/>
        <v>97288.483361547565</v>
      </c>
      <c r="H43" s="147">
        <f t="shared" si="12"/>
        <v>97288.483361547565</v>
      </c>
      <c r="I43" s="160">
        <f t="shared" si="6"/>
        <v>0</v>
      </c>
      <c r="J43" s="160"/>
      <c r="K43" s="335"/>
      <c r="L43" s="162">
        <f t="shared" si="1"/>
        <v>0</v>
      </c>
      <c r="M43" s="335"/>
      <c r="N43" s="162">
        <f t="shared" si="3"/>
        <v>0</v>
      </c>
      <c r="O43" s="162">
        <f t="shared" si="4"/>
        <v>0</v>
      </c>
      <c r="P43" s="4"/>
    </row>
    <row r="44" spans="2:16">
      <c r="B44" s="9" t="str">
        <f t="shared" si="5"/>
        <v/>
      </c>
      <c r="C44" s="157">
        <f>IF(D11="","-",+C43+1)</f>
        <v>2038</v>
      </c>
      <c r="D44" s="163">
        <f>IF(F43+SUM(E$17:E43)=D$10,F43,D$10-SUM(E$17:E43))</f>
        <v>522143.86600447033</v>
      </c>
      <c r="E44" s="164">
        <f>IF(+I14&lt;F43,I14,D44)</f>
        <v>35102.4905</v>
      </c>
      <c r="F44" s="163">
        <f t="shared" si="10"/>
        <v>487041.37550447031</v>
      </c>
      <c r="G44" s="165">
        <f t="shared" si="11"/>
        <v>93243.823370869446</v>
      </c>
      <c r="H44" s="147">
        <f t="shared" si="12"/>
        <v>93243.823370869446</v>
      </c>
      <c r="I44" s="160">
        <f t="shared" si="6"/>
        <v>0</v>
      </c>
      <c r="J44" s="160"/>
      <c r="K44" s="335"/>
      <c r="L44" s="162">
        <f t="shared" si="1"/>
        <v>0</v>
      </c>
      <c r="M44" s="335"/>
      <c r="N44" s="162">
        <f t="shared" si="3"/>
        <v>0</v>
      </c>
      <c r="O44" s="162">
        <f t="shared" si="4"/>
        <v>0</v>
      </c>
      <c r="P44" s="4"/>
    </row>
    <row r="45" spans="2:16">
      <c r="B45" s="9" t="str">
        <f t="shared" si="5"/>
        <v/>
      </c>
      <c r="C45" s="157">
        <f>IF(D11="","-",+C44+1)</f>
        <v>2039</v>
      </c>
      <c r="D45" s="163">
        <f>IF(F44+SUM(E$17:E44)=D$10,F44,D$10-SUM(E$17:E44))</f>
        <v>487041.37550447031</v>
      </c>
      <c r="E45" s="164">
        <f>IF(+I14&lt;F44,I14,D45)</f>
        <v>35102.4905</v>
      </c>
      <c r="F45" s="163">
        <f t="shared" si="10"/>
        <v>451938.8850044703</v>
      </c>
      <c r="G45" s="165">
        <f t="shared" si="11"/>
        <v>89199.163380191283</v>
      </c>
      <c r="H45" s="147">
        <f t="shared" si="12"/>
        <v>89199.163380191283</v>
      </c>
      <c r="I45" s="160">
        <f t="shared" si="6"/>
        <v>0</v>
      </c>
      <c r="J45" s="160"/>
      <c r="K45" s="335"/>
      <c r="L45" s="162">
        <f t="shared" si="1"/>
        <v>0</v>
      </c>
      <c r="M45" s="335"/>
      <c r="N45" s="162">
        <f t="shared" si="3"/>
        <v>0</v>
      </c>
      <c r="O45" s="162">
        <f t="shared" si="4"/>
        <v>0</v>
      </c>
      <c r="P45" s="4"/>
    </row>
    <row r="46" spans="2:16">
      <c r="B46" s="9" t="str">
        <f t="shared" si="5"/>
        <v/>
      </c>
      <c r="C46" s="157">
        <f>IF(D11="","-",+C45+1)</f>
        <v>2040</v>
      </c>
      <c r="D46" s="163">
        <f>IF(F45+SUM(E$17:E45)=D$10,F45,D$10-SUM(E$17:E45))</f>
        <v>451938.8850044703</v>
      </c>
      <c r="E46" s="164">
        <f>IF(+I14&lt;F45,I14,D46)</f>
        <v>35102.4905</v>
      </c>
      <c r="F46" s="163">
        <f t="shared" si="10"/>
        <v>416836.39450447029</v>
      </c>
      <c r="G46" s="165">
        <f t="shared" si="11"/>
        <v>85154.503389513164</v>
      </c>
      <c r="H46" s="147">
        <f t="shared" si="12"/>
        <v>85154.503389513164</v>
      </c>
      <c r="I46" s="160">
        <f t="shared" si="6"/>
        <v>0</v>
      </c>
      <c r="J46" s="160"/>
      <c r="K46" s="335"/>
      <c r="L46" s="162">
        <f t="shared" si="1"/>
        <v>0</v>
      </c>
      <c r="M46" s="335"/>
      <c r="N46" s="162">
        <f t="shared" si="3"/>
        <v>0</v>
      </c>
      <c r="O46" s="162">
        <f t="shared" si="4"/>
        <v>0</v>
      </c>
      <c r="P46" s="4"/>
    </row>
    <row r="47" spans="2:16">
      <c r="B47" s="9" t="str">
        <f t="shared" si="5"/>
        <v/>
      </c>
      <c r="C47" s="157">
        <f>IF(D11="","-",+C46+1)</f>
        <v>2041</v>
      </c>
      <c r="D47" s="163">
        <f>IF(F46+SUM(E$17:E46)=D$10,F46,D$10-SUM(E$17:E46))</f>
        <v>416836.39450447029</v>
      </c>
      <c r="E47" s="164">
        <f>IF(+I14&lt;F46,I14,D47)</f>
        <v>35102.4905</v>
      </c>
      <c r="F47" s="163">
        <f t="shared" si="10"/>
        <v>381733.90400447027</v>
      </c>
      <c r="G47" s="165">
        <f t="shared" si="11"/>
        <v>81109.843398835015</v>
      </c>
      <c r="H47" s="147">
        <f t="shared" si="12"/>
        <v>81109.843398835015</v>
      </c>
      <c r="I47" s="160">
        <f t="shared" si="6"/>
        <v>0</v>
      </c>
      <c r="J47" s="160"/>
      <c r="K47" s="335"/>
      <c r="L47" s="162">
        <f t="shared" si="1"/>
        <v>0</v>
      </c>
      <c r="M47" s="335"/>
      <c r="N47" s="162">
        <f t="shared" si="3"/>
        <v>0</v>
      </c>
      <c r="O47" s="162">
        <f t="shared" si="4"/>
        <v>0</v>
      </c>
      <c r="P47" s="4"/>
    </row>
    <row r="48" spans="2:16">
      <c r="B48" s="9" t="str">
        <f t="shared" si="5"/>
        <v/>
      </c>
      <c r="C48" s="157">
        <f>IF(D11="","-",+C47+1)</f>
        <v>2042</v>
      </c>
      <c r="D48" s="163">
        <f>IF(F47+SUM(E$17:E47)=D$10,F47,D$10-SUM(E$17:E47))</f>
        <v>381733.90400447027</v>
      </c>
      <c r="E48" s="164">
        <f>IF(+I14&lt;F47,I14,D48)</f>
        <v>35102.4905</v>
      </c>
      <c r="F48" s="163">
        <f t="shared" si="10"/>
        <v>346631.41350447026</v>
      </c>
      <c r="G48" s="165">
        <f t="shared" si="11"/>
        <v>77065.183408156881</v>
      </c>
      <c r="H48" s="147">
        <f t="shared" si="12"/>
        <v>77065.183408156881</v>
      </c>
      <c r="I48" s="160">
        <f t="shared" si="6"/>
        <v>0</v>
      </c>
      <c r="J48" s="160"/>
      <c r="K48" s="335"/>
      <c r="L48" s="162">
        <f t="shared" si="1"/>
        <v>0</v>
      </c>
      <c r="M48" s="335"/>
      <c r="N48" s="162">
        <f t="shared" si="3"/>
        <v>0</v>
      </c>
      <c r="O48" s="162">
        <f t="shared" si="4"/>
        <v>0</v>
      </c>
      <c r="P48" s="4"/>
    </row>
    <row r="49" spans="2:16">
      <c r="B49" s="9" t="str">
        <f t="shared" si="5"/>
        <v/>
      </c>
      <c r="C49" s="157">
        <f>IF(D11="","-",+C48+1)</f>
        <v>2043</v>
      </c>
      <c r="D49" s="163">
        <f>IF(F48+SUM(E$17:E48)=D$10,F48,D$10-SUM(E$17:E48))</f>
        <v>346631.41350447026</v>
      </c>
      <c r="E49" s="164">
        <f>IF(+I14&lt;F48,I14,D49)</f>
        <v>35102.4905</v>
      </c>
      <c r="F49" s="163">
        <f t="shared" si="10"/>
        <v>311528.92300447024</v>
      </c>
      <c r="G49" s="165">
        <f t="shared" si="11"/>
        <v>73020.523417478747</v>
      </c>
      <c r="H49" s="147">
        <f t="shared" si="12"/>
        <v>73020.523417478747</v>
      </c>
      <c r="I49" s="160">
        <f t="shared" ref="I49:I72" si="13">H49-G49</f>
        <v>0</v>
      </c>
      <c r="J49" s="160"/>
      <c r="K49" s="335"/>
      <c r="L49" s="162">
        <f t="shared" ref="L49:L72" si="14">IF(K49&lt;&gt;0,+G49-K49,0)</f>
        <v>0</v>
      </c>
      <c r="M49" s="335"/>
      <c r="N49" s="162">
        <f t="shared" ref="N49:N72" si="15">IF(M49&lt;&gt;0,+H49-M49,0)</f>
        <v>0</v>
      </c>
      <c r="O49" s="162">
        <f t="shared" ref="O49:O72" si="16">+N49-L49</f>
        <v>0</v>
      </c>
      <c r="P49" s="4"/>
    </row>
    <row r="50" spans="2:16">
      <c r="B50" s="9" t="str">
        <f t="shared" ref="B50:B72" si="17">IF(D50=F49,"","IU")</f>
        <v/>
      </c>
      <c r="C50" s="157">
        <f>IF(D11="","-",+C49+1)</f>
        <v>2044</v>
      </c>
      <c r="D50" s="163">
        <f>IF(F49+SUM(E$17:E49)=D$10,F49,D$10-SUM(E$17:E49))</f>
        <v>311528.92300447024</v>
      </c>
      <c r="E50" s="164">
        <f>IF(+I14&lt;F49,I14,D50)</f>
        <v>35102.4905</v>
      </c>
      <c r="F50" s="163">
        <f t="shared" ref="F50:F72" si="18">+D50-E50</f>
        <v>276426.43250447023</v>
      </c>
      <c r="G50" s="165">
        <f t="shared" si="11"/>
        <v>68975.863426800614</v>
      </c>
      <c r="H50" s="147">
        <f t="shared" si="12"/>
        <v>68975.863426800614</v>
      </c>
      <c r="I50" s="160">
        <f t="shared" si="13"/>
        <v>0</v>
      </c>
      <c r="J50" s="160"/>
      <c r="K50" s="335"/>
      <c r="L50" s="162">
        <f t="shared" si="14"/>
        <v>0</v>
      </c>
      <c r="M50" s="335"/>
      <c r="N50" s="162">
        <f t="shared" si="15"/>
        <v>0</v>
      </c>
      <c r="O50" s="162">
        <f t="shared" si="16"/>
        <v>0</v>
      </c>
      <c r="P50" s="4"/>
    </row>
    <row r="51" spans="2:16">
      <c r="B51" s="9" t="str">
        <f t="shared" si="17"/>
        <v/>
      </c>
      <c r="C51" s="157">
        <f>IF(D11="","-",+C50+1)</f>
        <v>2045</v>
      </c>
      <c r="D51" s="163">
        <f>IF(F50+SUM(E$17:E50)=D$10,F50,D$10-SUM(E$17:E50))</f>
        <v>276426.43250447023</v>
      </c>
      <c r="E51" s="164">
        <f>IF(+I14&lt;F50,I14,D51)</f>
        <v>35102.4905</v>
      </c>
      <c r="F51" s="163">
        <f t="shared" si="18"/>
        <v>241323.94200447021</v>
      </c>
      <c r="G51" s="165">
        <f t="shared" si="11"/>
        <v>64931.203436122472</v>
      </c>
      <c r="H51" s="147">
        <f t="shared" si="12"/>
        <v>64931.203436122472</v>
      </c>
      <c r="I51" s="160">
        <f t="shared" si="13"/>
        <v>0</v>
      </c>
      <c r="J51" s="160"/>
      <c r="K51" s="335"/>
      <c r="L51" s="162">
        <f t="shared" si="14"/>
        <v>0</v>
      </c>
      <c r="M51" s="335"/>
      <c r="N51" s="162">
        <f t="shared" si="15"/>
        <v>0</v>
      </c>
      <c r="O51" s="162">
        <f t="shared" si="16"/>
        <v>0</v>
      </c>
      <c r="P51" s="4"/>
    </row>
    <row r="52" spans="2:16">
      <c r="B52" s="9" t="str">
        <f t="shared" si="17"/>
        <v/>
      </c>
      <c r="C52" s="157">
        <f>IF(D11="","-",+C51+1)</f>
        <v>2046</v>
      </c>
      <c r="D52" s="163">
        <f>IF(F51+SUM(E$17:E51)=D$10,F51,D$10-SUM(E$17:E51))</f>
        <v>241323.94200447021</v>
      </c>
      <c r="E52" s="164">
        <f>IF(+I14&lt;F51,I14,D52)</f>
        <v>35102.4905</v>
      </c>
      <c r="F52" s="163">
        <f t="shared" si="18"/>
        <v>206221.4515044702</v>
      </c>
      <c r="G52" s="165">
        <f t="shared" si="11"/>
        <v>60886.543445444331</v>
      </c>
      <c r="H52" s="147">
        <f t="shared" si="12"/>
        <v>60886.543445444331</v>
      </c>
      <c r="I52" s="160">
        <f t="shared" si="13"/>
        <v>0</v>
      </c>
      <c r="J52" s="160"/>
      <c r="K52" s="335"/>
      <c r="L52" s="162">
        <f t="shared" si="14"/>
        <v>0</v>
      </c>
      <c r="M52" s="335"/>
      <c r="N52" s="162">
        <f t="shared" si="15"/>
        <v>0</v>
      </c>
      <c r="O52" s="162">
        <f t="shared" si="16"/>
        <v>0</v>
      </c>
      <c r="P52" s="4"/>
    </row>
    <row r="53" spans="2:16">
      <c r="B53" s="9" t="str">
        <f t="shared" si="17"/>
        <v/>
      </c>
      <c r="C53" s="157">
        <f>IF(D11="","-",+C52+1)</f>
        <v>2047</v>
      </c>
      <c r="D53" s="163">
        <f>IF(F52+SUM(E$17:E52)=D$10,F52,D$10-SUM(E$17:E52))</f>
        <v>206221.4515044702</v>
      </c>
      <c r="E53" s="164">
        <f>IF(+I14&lt;F52,I14,D53)</f>
        <v>35102.4905</v>
      </c>
      <c r="F53" s="163">
        <f t="shared" si="18"/>
        <v>171118.96100447018</v>
      </c>
      <c r="G53" s="165">
        <f t="shared" si="11"/>
        <v>56841.883454766197</v>
      </c>
      <c r="H53" s="147">
        <f t="shared" si="12"/>
        <v>56841.883454766197</v>
      </c>
      <c r="I53" s="160">
        <f t="shared" si="13"/>
        <v>0</v>
      </c>
      <c r="J53" s="160"/>
      <c r="K53" s="335"/>
      <c r="L53" s="162">
        <f t="shared" si="14"/>
        <v>0</v>
      </c>
      <c r="M53" s="335"/>
      <c r="N53" s="162">
        <f t="shared" si="15"/>
        <v>0</v>
      </c>
      <c r="O53" s="162">
        <f t="shared" si="16"/>
        <v>0</v>
      </c>
      <c r="P53" s="4"/>
    </row>
    <row r="54" spans="2:16">
      <c r="B54" s="9" t="str">
        <f t="shared" si="17"/>
        <v/>
      </c>
      <c r="C54" s="157">
        <f>IF(D11="","-",+C53+1)</f>
        <v>2048</v>
      </c>
      <c r="D54" s="163">
        <f>IF(F53+SUM(E$17:E53)=D$10,F53,D$10-SUM(E$17:E53))</f>
        <v>171118.96100447018</v>
      </c>
      <c r="E54" s="164">
        <f>IF(+I14&lt;F53,I14,D54)</f>
        <v>35102.4905</v>
      </c>
      <c r="F54" s="163">
        <f t="shared" si="18"/>
        <v>136016.47050447017</v>
      </c>
      <c r="G54" s="165">
        <f t="shared" si="11"/>
        <v>52797.223464088063</v>
      </c>
      <c r="H54" s="147">
        <f t="shared" si="12"/>
        <v>52797.223464088063</v>
      </c>
      <c r="I54" s="160">
        <f t="shared" si="13"/>
        <v>0</v>
      </c>
      <c r="J54" s="160"/>
      <c r="K54" s="335"/>
      <c r="L54" s="162">
        <f t="shared" si="14"/>
        <v>0</v>
      </c>
      <c r="M54" s="335"/>
      <c r="N54" s="162">
        <f t="shared" si="15"/>
        <v>0</v>
      </c>
      <c r="O54" s="162">
        <f t="shared" si="16"/>
        <v>0</v>
      </c>
      <c r="P54" s="4"/>
    </row>
    <row r="55" spans="2:16">
      <c r="B55" s="9" t="str">
        <f t="shared" si="17"/>
        <v/>
      </c>
      <c r="C55" s="157">
        <f>IF(D11="","-",+C54+1)</f>
        <v>2049</v>
      </c>
      <c r="D55" s="163">
        <f>IF(F54+SUM(E$17:E54)=D$10,F54,D$10-SUM(E$17:E54))</f>
        <v>136016.47050447017</v>
      </c>
      <c r="E55" s="164">
        <f>IF(+I14&lt;F54,I14,D55)</f>
        <v>35102.4905</v>
      </c>
      <c r="F55" s="163">
        <f t="shared" si="18"/>
        <v>100913.98000447017</v>
      </c>
      <c r="G55" s="165">
        <f t="shared" si="11"/>
        <v>48752.563473409922</v>
      </c>
      <c r="H55" s="147">
        <f t="shared" si="12"/>
        <v>48752.563473409922</v>
      </c>
      <c r="I55" s="160">
        <f t="shared" si="13"/>
        <v>0</v>
      </c>
      <c r="J55" s="160"/>
      <c r="K55" s="335"/>
      <c r="L55" s="162">
        <f t="shared" si="14"/>
        <v>0</v>
      </c>
      <c r="M55" s="335"/>
      <c r="N55" s="162">
        <f t="shared" si="15"/>
        <v>0</v>
      </c>
      <c r="O55" s="162">
        <f t="shared" si="16"/>
        <v>0</v>
      </c>
      <c r="P55" s="4"/>
    </row>
    <row r="56" spans="2:16">
      <c r="B56" s="9" t="str">
        <f t="shared" si="17"/>
        <v/>
      </c>
      <c r="C56" s="157">
        <f>IF(D11="","-",+C55+1)</f>
        <v>2050</v>
      </c>
      <c r="D56" s="163">
        <f>IF(F55+SUM(E$17:E55)=D$10,F55,D$10-SUM(E$17:E55))</f>
        <v>100913.98000447017</v>
      </c>
      <c r="E56" s="164">
        <f>IF(+I14&lt;F55,I14,D56)</f>
        <v>35102.4905</v>
      </c>
      <c r="F56" s="163">
        <f t="shared" si="18"/>
        <v>65811.48950447017</v>
      </c>
      <c r="G56" s="165">
        <f t="shared" si="11"/>
        <v>44707.903482731788</v>
      </c>
      <c r="H56" s="147">
        <f t="shared" si="12"/>
        <v>44707.903482731788</v>
      </c>
      <c r="I56" s="160">
        <f t="shared" si="13"/>
        <v>0</v>
      </c>
      <c r="J56" s="160"/>
      <c r="K56" s="335"/>
      <c r="L56" s="162">
        <f t="shared" si="14"/>
        <v>0</v>
      </c>
      <c r="M56" s="335"/>
      <c r="N56" s="162">
        <f t="shared" si="15"/>
        <v>0</v>
      </c>
      <c r="O56" s="162">
        <f t="shared" si="16"/>
        <v>0</v>
      </c>
      <c r="P56" s="4"/>
    </row>
    <row r="57" spans="2:16">
      <c r="B57" s="9" t="str">
        <f t="shared" si="17"/>
        <v/>
      </c>
      <c r="C57" s="157">
        <f>IF(D11="","-",+C56+1)</f>
        <v>2051</v>
      </c>
      <c r="D57" s="163">
        <f>IF(F56+SUM(E$17:E56)=D$10,F56,D$10-SUM(E$17:E56))</f>
        <v>65811.48950447017</v>
      </c>
      <c r="E57" s="164">
        <f>IF(+I14&lt;F56,I14,D57)</f>
        <v>35102.4905</v>
      </c>
      <c r="F57" s="163">
        <f t="shared" si="18"/>
        <v>30708.99900447017</v>
      </c>
      <c r="G57" s="165">
        <f t="shared" si="11"/>
        <v>40663.243492053654</v>
      </c>
      <c r="H57" s="147">
        <f t="shared" si="12"/>
        <v>40663.243492053654</v>
      </c>
      <c r="I57" s="160">
        <f t="shared" si="13"/>
        <v>0</v>
      </c>
      <c r="J57" s="160"/>
      <c r="K57" s="335"/>
      <c r="L57" s="162">
        <f t="shared" si="14"/>
        <v>0</v>
      </c>
      <c r="M57" s="335"/>
      <c r="N57" s="162">
        <f t="shared" si="15"/>
        <v>0</v>
      </c>
      <c r="O57" s="162">
        <f t="shared" si="16"/>
        <v>0</v>
      </c>
      <c r="P57" s="4"/>
    </row>
    <row r="58" spans="2:16">
      <c r="B58" s="9" t="str">
        <f t="shared" si="17"/>
        <v/>
      </c>
      <c r="C58" s="157">
        <f>IF(D11="","-",+C57+1)</f>
        <v>2052</v>
      </c>
      <c r="D58" s="163">
        <f>IF(F57+SUM(E$17:E57)=D$10,F57,D$10-SUM(E$17:E57))</f>
        <v>30708.99900447017</v>
      </c>
      <c r="E58" s="164">
        <f>IF(+I14&lt;F57,I14,D58)</f>
        <v>30708.99900447017</v>
      </c>
      <c r="F58" s="163">
        <f t="shared" si="18"/>
        <v>0</v>
      </c>
      <c r="G58" s="165">
        <f t="shared" si="11"/>
        <v>32478.21050282746</v>
      </c>
      <c r="H58" s="147">
        <f t="shared" si="12"/>
        <v>32478.21050282746</v>
      </c>
      <c r="I58" s="160">
        <f t="shared" si="13"/>
        <v>0</v>
      </c>
      <c r="J58" s="160"/>
      <c r="K58" s="335"/>
      <c r="L58" s="162">
        <f t="shared" si="14"/>
        <v>0</v>
      </c>
      <c r="M58" s="335"/>
      <c r="N58" s="162">
        <f t="shared" si="15"/>
        <v>0</v>
      </c>
      <c r="O58" s="162">
        <f t="shared" si="16"/>
        <v>0</v>
      </c>
      <c r="P58" s="4"/>
    </row>
    <row r="59" spans="2:16">
      <c r="B59" s="9" t="str">
        <f t="shared" si="17"/>
        <v/>
      </c>
      <c r="C59" s="157">
        <f>IF(D11="","-",+C58+1)</f>
        <v>2053</v>
      </c>
      <c r="D59" s="163">
        <f>IF(F58+SUM(E$17:E58)=D$10,F58,D$10-SUM(E$17:E58))</f>
        <v>0</v>
      </c>
      <c r="E59" s="164">
        <f>IF(+I14&lt;F58,I14,D59)</f>
        <v>0</v>
      </c>
      <c r="F59" s="163">
        <f t="shared" si="18"/>
        <v>0</v>
      </c>
      <c r="G59" s="165">
        <f t="shared" si="11"/>
        <v>0</v>
      </c>
      <c r="H59" s="147">
        <f t="shared" si="12"/>
        <v>0</v>
      </c>
      <c r="I59" s="160">
        <f t="shared" si="13"/>
        <v>0</v>
      </c>
      <c r="J59" s="160"/>
      <c r="K59" s="335"/>
      <c r="L59" s="162">
        <f t="shared" si="14"/>
        <v>0</v>
      </c>
      <c r="M59" s="335"/>
      <c r="N59" s="162">
        <f t="shared" si="15"/>
        <v>0</v>
      </c>
      <c r="O59" s="162">
        <f t="shared" si="16"/>
        <v>0</v>
      </c>
      <c r="P59" s="4"/>
    </row>
    <row r="60" spans="2:16">
      <c r="B60" s="9" t="str">
        <f t="shared" si="17"/>
        <v/>
      </c>
      <c r="C60" s="157">
        <f>IF(D11="","-",+C59+1)</f>
        <v>2054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8"/>
        <v>0</v>
      </c>
      <c r="G60" s="165">
        <f t="shared" si="11"/>
        <v>0</v>
      </c>
      <c r="H60" s="147">
        <f t="shared" si="12"/>
        <v>0</v>
      </c>
      <c r="I60" s="160">
        <f t="shared" si="13"/>
        <v>0</v>
      </c>
      <c r="J60" s="160"/>
      <c r="K60" s="335"/>
      <c r="L60" s="162">
        <f t="shared" si="14"/>
        <v>0</v>
      </c>
      <c r="M60" s="335"/>
      <c r="N60" s="162">
        <f t="shared" si="15"/>
        <v>0</v>
      </c>
      <c r="O60" s="162">
        <f t="shared" si="16"/>
        <v>0</v>
      </c>
      <c r="P60" s="4"/>
    </row>
    <row r="61" spans="2:16">
      <c r="B61" s="9" t="str">
        <f t="shared" si="17"/>
        <v/>
      </c>
      <c r="C61" s="157">
        <f>IF(D11="","-",+C60+1)</f>
        <v>2055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8"/>
        <v>0</v>
      </c>
      <c r="G61" s="165">
        <f t="shared" si="11"/>
        <v>0</v>
      </c>
      <c r="H61" s="147">
        <f t="shared" si="12"/>
        <v>0</v>
      </c>
      <c r="I61" s="160">
        <f t="shared" si="13"/>
        <v>0</v>
      </c>
      <c r="J61" s="160"/>
      <c r="K61" s="335"/>
      <c r="L61" s="162">
        <f t="shared" si="14"/>
        <v>0</v>
      </c>
      <c r="M61" s="335"/>
      <c r="N61" s="162">
        <f t="shared" si="15"/>
        <v>0</v>
      </c>
      <c r="O61" s="162">
        <f t="shared" si="16"/>
        <v>0</v>
      </c>
      <c r="P61" s="4"/>
    </row>
    <row r="62" spans="2:16">
      <c r="B62" s="9" t="str">
        <f t="shared" si="17"/>
        <v/>
      </c>
      <c r="C62" s="157">
        <f>IF(D11="","-",+C61+1)</f>
        <v>2056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8"/>
        <v>0</v>
      </c>
      <c r="G62" s="165">
        <f t="shared" si="11"/>
        <v>0</v>
      </c>
      <c r="H62" s="147">
        <f t="shared" si="12"/>
        <v>0</v>
      </c>
      <c r="I62" s="160">
        <f t="shared" si="13"/>
        <v>0</v>
      </c>
      <c r="J62" s="160"/>
      <c r="K62" s="335"/>
      <c r="L62" s="162">
        <f t="shared" si="14"/>
        <v>0</v>
      </c>
      <c r="M62" s="335"/>
      <c r="N62" s="162">
        <f t="shared" si="15"/>
        <v>0</v>
      </c>
      <c r="O62" s="162">
        <f t="shared" si="16"/>
        <v>0</v>
      </c>
      <c r="P62" s="4"/>
    </row>
    <row r="63" spans="2:16">
      <c r="B63" s="9" t="str">
        <f t="shared" si="17"/>
        <v/>
      </c>
      <c r="C63" s="157">
        <f>IF(D11="","-",+C62+1)</f>
        <v>2057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8"/>
        <v>0</v>
      </c>
      <c r="G63" s="165">
        <f t="shared" si="11"/>
        <v>0</v>
      </c>
      <c r="H63" s="147">
        <f t="shared" si="12"/>
        <v>0</v>
      </c>
      <c r="I63" s="160">
        <f t="shared" si="13"/>
        <v>0</v>
      </c>
      <c r="J63" s="160"/>
      <c r="K63" s="335"/>
      <c r="L63" s="162">
        <f t="shared" si="14"/>
        <v>0</v>
      </c>
      <c r="M63" s="335"/>
      <c r="N63" s="162">
        <f t="shared" si="15"/>
        <v>0</v>
      </c>
      <c r="O63" s="162">
        <f t="shared" si="16"/>
        <v>0</v>
      </c>
      <c r="P63" s="4"/>
    </row>
    <row r="64" spans="2:16">
      <c r="B64" s="9" t="str">
        <f t="shared" si="17"/>
        <v/>
      </c>
      <c r="C64" s="157">
        <f>IF(D11="","-",+C63+1)</f>
        <v>2058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8"/>
        <v>0</v>
      </c>
      <c r="G64" s="165">
        <f t="shared" si="11"/>
        <v>0</v>
      </c>
      <c r="H64" s="147">
        <f t="shared" si="12"/>
        <v>0</v>
      </c>
      <c r="I64" s="160">
        <f t="shared" si="13"/>
        <v>0</v>
      </c>
      <c r="J64" s="160"/>
      <c r="K64" s="335"/>
      <c r="L64" s="162">
        <f t="shared" si="14"/>
        <v>0</v>
      </c>
      <c r="M64" s="335"/>
      <c r="N64" s="162">
        <f t="shared" si="15"/>
        <v>0</v>
      </c>
      <c r="O64" s="162">
        <f t="shared" si="16"/>
        <v>0</v>
      </c>
      <c r="P64" s="4"/>
    </row>
    <row r="65" spans="2:16">
      <c r="B65" s="9" t="str">
        <f t="shared" si="17"/>
        <v/>
      </c>
      <c r="C65" s="157">
        <f>IF(D11="","-",+C64+1)</f>
        <v>2059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8"/>
        <v>0</v>
      </c>
      <c r="G65" s="165">
        <f t="shared" si="11"/>
        <v>0</v>
      </c>
      <c r="H65" s="147">
        <f t="shared" si="12"/>
        <v>0</v>
      </c>
      <c r="I65" s="160">
        <f t="shared" si="13"/>
        <v>0</v>
      </c>
      <c r="J65" s="160"/>
      <c r="K65" s="335"/>
      <c r="L65" s="162">
        <f t="shared" si="14"/>
        <v>0</v>
      </c>
      <c r="M65" s="335"/>
      <c r="N65" s="162">
        <f t="shared" si="15"/>
        <v>0</v>
      </c>
      <c r="O65" s="162">
        <f t="shared" si="16"/>
        <v>0</v>
      </c>
      <c r="P65" s="4"/>
    </row>
    <row r="66" spans="2:16">
      <c r="B66" s="9" t="str">
        <f t="shared" si="17"/>
        <v/>
      </c>
      <c r="C66" s="157">
        <f>IF(D11="","-",+C65+1)</f>
        <v>2060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8"/>
        <v>0</v>
      </c>
      <c r="G66" s="165">
        <f t="shared" si="11"/>
        <v>0</v>
      </c>
      <c r="H66" s="147">
        <f t="shared" si="12"/>
        <v>0</v>
      </c>
      <c r="I66" s="160">
        <f t="shared" si="13"/>
        <v>0</v>
      </c>
      <c r="J66" s="160"/>
      <c r="K66" s="335"/>
      <c r="L66" s="162">
        <f t="shared" si="14"/>
        <v>0</v>
      </c>
      <c r="M66" s="335"/>
      <c r="N66" s="162">
        <f t="shared" si="15"/>
        <v>0</v>
      </c>
      <c r="O66" s="162">
        <f t="shared" si="16"/>
        <v>0</v>
      </c>
      <c r="P66" s="4"/>
    </row>
    <row r="67" spans="2:16">
      <c r="B67" s="9" t="str">
        <f t="shared" si="17"/>
        <v/>
      </c>
      <c r="C67" s="157">
        <f>IF(D11="","-",+C66+1)</f>
        <v>2061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8"/>
        <v>0</v>
      </c>
      <c r="G67" s="165">
        <f t="shared" si="11"/>
        <v>0</v>
      </c>
      <c r="H67" s="147">
        <f t="shared" si="12"/>
        <v>0</v>
      </c>
      <c r="I67" s="160">
        <f t="shared" si="13"/>
        <v>0</v>
      </c>
      <c r="J67" s="160"/>
      <c r="K67" s="335"/>
      <c r="L67" s="162">
        <f t="shared" si="14"/>
        <v>0</v>
      </c>
      <c r="M67" s="335"/>
      <c r="N67" s="162">
        <f t="shared" si="15"/>
        <v>0</v>
      </c>
      <c r="O67" s="162">
        <f t="shared" si="16"/>
        <v>0</v>
      </c>
      <c r="P67" s="4"/>
    </row>
    <row r="68" spans="2:16">
      <c r="B68" s="9" t="str">
        <f t="shared" si="17"/>
        <v/>
      </c>
      <c r="C68" s="157">
        <f>IF(D11="","-",+C67+1)</f>
        <v>2062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8"/>
        <v>0</v>
      </c>
      <c r="G68" s="165">
        <f t="shared" si="11"/>
        <v>0</v>
      </c>
      <c r="H68" s="147">
        <f t="shared" si="12"/>
        <v>0</v>
      </c>
      <c r="I68" s="160">
        <f t="shared" si="13"/>
        <v>0</v>
      </c>
      <c r="J68" s="160"/>
      <c r="K68" s="335"/>
      <c r="L68" s="162">
        <f t="shared" si="14"/>
        <v>0</v>
      </c>
      <c r="M68" s="335"/>
      <c r="N68" s="162">
        <f t="shared" si="15"/>
        <v>0</v>
      </c>
      <c r="O68" s="162">
        <f t="shared" si="16"/>
        <v>0</v>
      </c>
      <c r="P68" s="4"/>
    </row>
    <row r="69" spans="2:16">
      <c r="B69" s="9" t="str">
        <f t="shared" si="17"/>
        <v/>
      </c>
      <c r="C69" s="157">
        <f>IF(D11="","-",+C68+1)</f>
        <v>2063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8"/>
        <v>0</v>
      </c>
      <c r="G69" s="165">
        <f t="shared" si="11"/>
        <v>0</v>
      </c>
      <c r="H69" s="147">
        <f t="shared" si="12"/>
        <v>0</v>
      </c>
      <c r="I69" s="160">
        <f t="shared" si="13"/>
        <v>0</v>
      </c>
      <c r="J69" s="160"/>
      <c r="K69" s="335"/>
      <c r="L69" s="162">
        <f t="shared" si="14"/>
        <v>0</v>
      </c>
      <c r="M69" s="335"/>
      <c r="N69" s="162">
        <f t="shared" si="15"/>
        <v>0</v>
      </c>
      <c r="O69" s="162">
        <f t="shared" si="16"/>
        <v>0</v>
      </c>
      <c r="P69" s="4"/>
    </row>
    <row r="70" spans="2:16">
      <c r="B70" s="9" t="str">
        <f t="shared" si="17"/>
        <v/>
      </c>
      <c r="C70" s="157">
        <f>IF(D11="","-",+C69+1)</f>
        <v>2064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8"/>
        <v>0</v>
      </c>
      <c r="G70" s="165">
        <f t="shared" si="11"/>
        <v>0</v>
      </c>
      <c r="H70" s="147">
        <f t="shared" si="12"/>
        <v>0</v>
      </c>
      <c r="I70" s="160">
        <f t="shared" si="13"/>
        <v>0</v>
      </c>
      <c r="J70" s="160"/>
      <c r="K70" s="335"/>
      <c r="L70" s="162">
        <f t="shared" si="14"/>
        <v>0</v>
      </c>
      <c r="M70" s="335"/>
      <c r="N70" s="162">
        <f t="shared" si="15"/>
        <v>0</v>
      </c>
      <c r="O70" s="162">
        <f t="shared" si="16"/>
        <v>0</v>
      </c>
      <c r="P70" s="4"/>
    </row>
    <row r="71" spans="2:16">
      <c r="B71" s="9" t="str">
        <f t="shared" si="17"/>
        <v/>
      </c>
      <c r="C71" s="157">
        <f>IF(D11="","-",+C70+1)</f>
        <v>2065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8"/>
        <v>0</v>
      </c>
      <c r="G71" s="165">
        <f t="shared" si="11"/>
        <v>0</v>
      </c>
      <c r="H71" s="147">
        <f t="shared" si="12"/>
        <v>0</v>
      </c>
      <c r="I71" s="160">
        <f t="shared" si="13"/>
        <v>0</v>
      </c>
      <c r="J71" s="160"/>
      <c r="K71" s="335"/>
      <c r="L71" s="162">
        <f t="shared" si="14"/>
        <v>0</v>
      </c>
      <c r="M71" s="335"/>
      <c r="N71" s="162">
        <f t="shared" si="15"/>
        <v>0</v>
      </c>
      <c r="O71" s="162">
        <f t="shared" si="16"/>
        <v>0</v>
      </c>
      <c r="P71" s="4"/>
    </row>
    <row r="72" spans="2:16" ht="13.5" thickBot="1">
      <c r="B72" s="9" t="str">
        <f t="shared" si="17"/>
        <v/>
      </c>
      <c r="C72" s="168">
        <f>IF(D11="","-",+C71+1)</f>
        <v>2066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8"/>
        <v>0</v>
      </c>
      <c r="G72" s="169">
        <f t="shared" si="11"/>
        <v>0</v>
      </c>
      <c r="H72" s="169">
        <f t="shared" si="12"/>
        <v>0</v>
      </c>
      <c r="I72" s="172">
        <f t="shared" si="13"/>
        <v>0</v>
      </c>
      <c r="J72" s="160"/>
      <c r="K72" s="336"/>
      <c r="L72" s="173">
        <f t="shared" si="14"/>
        <v>0</v>
      </c>
      <c r="M72" s="336"/>
      <c r="N72" s="173">
        <f t="shared" si="15"/>
        <v>0</v>
      </c>
      <c r="O72" s="173">
        <f t="shared" si="16"/>
        <v>0</v>
      </c>
      <c r="P72" s="4"/>
    </row>
    <row r="73" spans="2:16">
      <c r="C73" s="158" t="s">
        <v>72</v>
      </c>
      <c r="D73" s="115"/>
      <c r="E73" s="115">
        <f>SUM(E17:E72)</f>
        <v>1404099.62</v>
      </c>
      <c r="F73" s="115"/>
      <c r="G73" s="115">
        <f>SUM(G17:G72)</f>
        <v>5193040.7999210805</v>
      </c>
      <c r="H73" s="115">
        <f>SUM(H17:H72)</f>
        <v>5193040.7999210805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11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185818.9047826087</v>
      </c>
      <c r="N87" s="202">
        <f>IF(J92&lt;D11,0,VLOOKUP(J92,C17:O72,11))</f>
        <v>185818.9047826087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186938.81917011391</v>
      </c>
      <c r="N88" s="204">
        <f>IF(J92&lt;D11,0,VLOOKUP(J92,C99:P154,7))</f>
        <v>186938.81917011391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Bartlesville SE to Coffeyville T Rebuild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1119.9143875052105</v>
      </c>
      <c r="N89" s="207">
        <f>+N88-N87</f>
        <v>1119.9143875052105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TP2008079-PSO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f>D10</f>
        <v>1404099.6199999999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2011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30524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2011</v>
      </c>
      <c r="D99" s="366">
        <v>0</v>
      </c>
      <c r="E99" s="368">
        <v>13815</v>
      </c>
      <c r="F99" s="432">
        <v>1422922</v>
      </c>
      <c r="G99" s="373">
        <v>711461</v>
      </c>
      <c r="H99" s="375">
        <v>113286.80836539247</v>
      </c>
      <c r="I99" s="375">
        <v>113286.80836539247</v>
      </c>
      <c r="J99" s="162">
        <f t="shared" ref="J99:J130" si="19">+I99-H99</f>
        <v>0</v>
      </c>
      <c r="K99" s="434"/>
      <c r="L99" s="384">
        <f t="shared" ref="L99:L104" si="20">H99</f>
        <v>113286.80836539247</v>
      </c>
      <c r="M99" s="435">
        <f t="shared" ref="M99:M130" si="21">IF(L99&lt;&gt;0,+H99-L99,0)</f>
        <v>0</v>
      </c>
      <c r="N99" s="384">
        <f t="shared" ref="N99:N104" si="22">I99</f>
        <v>113286.80836539247</v>
      </c>
      <c r="O99" s="161">
        <f t="shared" ref="O99:O130" si="23">IF(N99&lt;&gt;0,+I99-N99,0)</f>
        <v>0</v>
      </c>
      <c r="P99" s="175">
        <f t="shared" ref="P99:P130" si="24">+O99-M99</f>
        <v>0</v>
      </c>
    </row>
    <row r="100" spans="1:16">
      <c r="B100" s="9" t="str">
        <f t="shared" ref="B100:B131" si="25">IF(D100=F99,"","IU")</f>
        <v>IU</v>
      </c>
      <c r="C100" s="157">
        <f>IF(D93="","-",+C99+1)</f>
        <v>2012</v>
      </c>
      <c r="D100" s="366">
        <v>1479908</v>
      </c>
      <c r="E100" s="368">
        <v>28725</v>
      </c>
      <c r="F100" s="432">
        <v>1451183</v>
      </c>
      <c r="G100" s="371">
        <v>1465545.5</v>
      </c>
      <c r="H100" s="375">
        <v>239551.75399863988</v>
      </c>
      <c r="I100" s="375">
        <v>239551.75399863988</v>
      </c>
      <c r="J100" s="162">
        <v>0</v>
      </c>
      <c r="K100" s="434"/>
      <c r="L100" s="380">
        <f t="shared" si="20"/>
        <v>239551.75399863988</v>
      </c>
      <c r="M100" s="435">
        <f>IF(L100&lt;&gt;0,+H100-L100,0)</f>
        <v>0</v>
      </c>
      <c r="N100" s="380">
        <f t="shared" si="22"/>
        <v>239551.75399863988</v>
      </c>
      <c r="O100" s="162">
        <f>IF(N100&lt;&gt;0,+I100-N100,0)</f>
        <v>0</v>
      </c>
      <c r="P100" s="175">
        <f>+O100-M100</f>
        <v>0</v>
      </c>
    </row>
    <row r="101" spans="1:16">
      <c r="B101" s="9" t="str">
        <f t="shared" si="25"/>
        <v/>
      </c>
      <c r="C101" s="157">
        <f>IF(D93="","-",+C100+1)</f>
        <v>2013</v>
      </c>
      <c r="D101" s="366">
        <v>1451183</v>
      </c>
      <c r="E101" s="368">
        <v>28725</v>
      </c>
      <c r="F101" s="432">
        <v>1422458</v>
      </c>
      <c r="G101" s="371">
        <v>1436820.5</v>
      </c>
      <c r="H101" s="375">
        <v>235540.35933406017</v>
      </c>
      <c r="I101" s="375">
        <v>235540.35933406017</v>
      </c>
      <c r="J101" s="162">
        <v>0</v>
      </c>
      <c r="K101" s="434"/>
      <c r="L101" s="380">
        <f t="shared" si="20"/>
        <v>235540.35933406017</v>
      </c>
      <c r="M101" s="435">
        <f>IF(L101&lt;&gt;0,+H101-L101,0)</f>
        <v>0</v>
      </c>
      <c r="N101" s="380">
        <f t="shared" si="22"/>
        <v>235540.35933406017</v>
      </c>
      <c r="O101" s="162">
        <f>IF(N101&lt;&gt;0,+I101-N101,0)</f>
        <v>0</v>
      </c>
      <c r="P101" s="175">
        <f>+O101-M101</f>
        <v>0</v>
      </c>
    </row>
    <row r="102" spans="1:16">
      <c r="B102" s="9" t="str">
        <f t="shared" si="25"/>
        <v>IU</v>
      </c>
      <c r="C102" s="157">
        <f>IF(D93="","-",+C101+1)</f>
        <v>2014</v>
      </c>
      <c r="D102" s="366">
        <v>1332834.6199999999</v>
      </c>
      <c r="E102" s="368">
        <v>27002</v>
      </c>
      <c r="F102" s="432">
        <v>1305832.6199999999</v>
      </c>
      <c r="G102" s="371">
        <v>1319333.6199999999</v>
      </c>
      <c r="H102" s="375">
        <v>212494.91385632072</v>
      </c>
      <c r="I102" s="375">
        <v>212494.91385632072</v>
      </c>
      <c r="J102" s="162">
        <v>0</v>
      </c>
      <c r="K102" s="434"/>
      <c r="L102" s="380">
        <f t="shared" si="20"/>
        <v>212494.91385632072</v>
      </c>
      <c r="M102" s="435">
        <f>IF(L102&lt;&gt;0,+H102-L102,0)</f>
        <v>0</v>
      </c>
      <c r="N102" s="380">
        <f t="shared" si="22"/>
        <v>212494.91385632072</v>
      </c>
      <c r="O102" s="162">
        <f>IF(N102&lt;&gt;0,+I102-N102,0)</f>
        <v>0</v>
      </c>
      <c r="P102" s="175">
        <f>+O102-M102</f>
        <v>0</v>
      </c>
    </row>
    <row r="103" spans="1:16">
      <c r="B103" s="9" t="str">
        <f t="shared" si="25"/>
        <v/>
      </c>
      <c r="C103" s="157">
        <f>IF(D93="","-",+C102+1)</f>
        <v>2015</v>
      </c>
      <c r="D103" s="366">
        <v>1305832.6199999999</v>
      </c>
      <c r="E103" s="368">
        <v>27002</v>
      </c>
      <c r="F103" s="432">
        <v>1278830.6199999999</v>
      </c>
      <c r="G103" s="371">
        <v>1292331.6199999999</v>
      </c>
      <c r="H103" s="375">
        <v>203330.25869072074</v>
      </c>
      <c r="I103" s="375">
        <v>203330.25869072074</v>
      </c>
      <c r="J103" s="162">
        <f t="shared" si="19"/>
        <v>0</v>
      </c>
      <c r="K103" s="434"/>
      <c r="L103" s="380">
        <f t="shared" si="20"/>
        <v>203330.25869072074</v>
      </c>
      <c r="M103" s="435">
        <f>IF(L103&lt;&gt;0,+H103-L103,0)</f>
        <v>0</v>
      </c>
      <c r="N103" s="380">
        <f t="shared" si="22"/>
        <v>203330.25869072074</v>
      </c>
      <c r="O103" s="162">
        <f>IF(N103&lt;&gt;0,+I103-N103,0)</f>
        <v>0</v>
      </c>
      <c r="P103" s="175">
        <f>+O103-M103</f>
        <v>0</v>
      </c>
    </row>
    <row r="104" spans="1:16">
      <c r="B104" s="9" t="str">
        <f t="shared" si="25"/>
        <v/>
      </c>
      <c r="C104" s="157">
        <f>IF(D93="","-",+C103+1)</f>
        <v>2016</v>
      </c>
      <c r="D104" s="366">
        <v>1278830.6199999999</v>
      </c>
      <c r="E104" s="368">
        <v>30524</v>
      </c>
      <c r="F104" s="432">
        <v>1248306.6199999999</v>
      </c>
      <c r="G104" s="371">
        <v>1263568.6199999999</v>
      </c>
      <c r="H104" s="375">
        <v>193417.89490142919</v>
      </c>
      <c r="I104" s="375">
        <v>193417.89490142919</v>
      </c>
      <c r="J104" s="162">
        <v>0</v>
      </c>
      <c r="K104" s="162"/>
      <c r="L104" s="380">
        <f t="shared" si="20"/>
        <v>193417.89490142919</v>
      </c>
      <c r="M104" s="435">
        <f>IF(L104&lt;&gt;0,+H104-L104,0)</f>
        <v>0</v>
      </c>
      <c r="N104" s="380">
        <f t="shared" si="22"/>
        <v>193417.89490142919</v>
      </c>
      <c r="O104" s="162">
        <f>IF(N104&lt;&gt;0,+I104-N104,0)</f>
        <v>0</v>
      </c>
      <c r="P104" s="175">
        <f>+O104-M104</f>
        <v>0</v>
      </c>
    </row>
    <row r="105" spans="1:16">
      <c r="B105" s="9" t="str">
        <f t="shared" si="25"/>
        <v/>
      </c>
      <c r="C105" s="157">
        <f>IF(D93="","-",+C104+1)</f>
        <v>2017</v>
      </c>
      <c r="D105" s="158">
        <f>IF(F104+SUM(E$99:E104)=D$92,F104,D$92-SUM(E$99:E104))</f>
        <v>1248306.6199999999</v>
      </c>
      <c r="E105" s="164">
        <f>IF(+J96&lt;F104,J96,D105)</f>
        <v>30524</v>
      </c>
      <c r="F105" s="433">
        <f t="shared" ref="F105:F130" si="26">+D105-E105</f>
        <v>1217782.6199999999</v>
      </c>
      <c r="G105" s="163">
        <f t="shared" ref="G105:G130" si="27">+(F105+D105)/2</f>
        <v>1233044.6199999999</v>
      </c>
      <c r="H105" s="317">
        <f t="shared" ref="H105:H130" si="28">+J$94*G105+E105</f>
        <v>186938.81917011391</v>
      </c>
      <c r="I105" s="317">
        <f t="shared" ref="I105:I130" si="29">+J$95*G105+E105</f>
        <v>186938.81917011391</v>
      </c>
      <c r="J105" s="162">
        <f t="shared" si="19"/>
        <v>0</v>
      </c>
      <c r="K105" s="162"/>
      <c r="L105" s="335"/>
      <c r="M105" s="434">
        <f t="shared" si="21"/>
        <v>0</v>
      </c>
      <c r="N105" s="335"/>
      <c r="O105" s="162">
        <f t="shared" si="23"/>
        <v>0</v>
      </c>
      <c r="P105" s="160">
        <f t="shared" si="24"/>
        <v>0</v>
      </c>
    </row>
    <row r="106" spans="1:16">
      <c r="B106" s="9" t="str">
        <f t="shared" si="25"/>
        <v/>
      </c>
      <c r="C106" s="157">
        <f>IF(D93="","-",+C105+1)</f>
        <v>2018</v>
      </c>
      <c r="D106" s="158">
        <f>IF(F105+SUM(E$99:E105)=D$92,F105,D$92-SUM(E$99:E105))</f>
        <v>1217782.6199999999</v>
      </c>
      <c r="E106" s="164">
        <f>IF(+J96&lt;F105,J96,D106)</f>
        <v>30524</v>
      </c>
      <c r="F106" s="163">
        <f t="shared" si="26"/>
        <v>1187258.6199999999</v>
      </c>
      <c r="G106" s="163">
        <f t="shared" si="27"/>
        <v>1202520.6199999999</v>
      </c>
      <c r="H106" s="167">
        <f t="shared" si="28"/>
        <v>183066.77280382055</v>
      </c>
      <c r="I106" s="317">
        <f t="shared" si="29"/>
        <v>183066.77280382055</v>
      </c>
      <c r="J106" s="162">
        <f t="shared" si="19"/>
        <v>0</v>
      </c>
      <c r="K106" s="162"/>
      <c r="L106" s="335"/>
      <c r="M106" s="434">
        <f t="shared" si="21"/>
        <v>0</v>
      </c>
      <c r="N106" s="335"/>
      <c r="O106" s="162">
        <f t="shared" si="23"/>
        <v>0</v>
      </c>
      <c r="P106" s="160">
        <f t="shared" si="24"/>
        <v>0</v>
      </c>
    </row>
    <row r="107" spans="1:16">
      <c r="B107" s="9" t="str">
        <f t="shared" si="25"/>
        <v/>
      </c>
      <c r="C107" s="157">
        <f>IF(D93="","-",+C106+1)</f>
        <v>2019</v>
      </c>
      <c r="D107" s="158">
        <f>IF(F106+SUM(E$99:E106)=D$92,F106,D$92-SUM(E$99:E106))</f>
        <v>1187258.6199999999</v>
      </c>
      <c r="E107" s="165">
        <f>IF(+J96&lt;F106,J96,D107)</f>
        <v>30524</v>
      </c>
      <c r="F107" s="163">
        <f t="shared" si="26"/>
        <v>1156734.6199999999</v>
      </c>
      <c r="G107" s="163">
        <f t="shared" si="27"/>
        <v>1171996.6199999999</v>
      </c>
      <c r="H107" s="167">
        <f t="shared" si="28"/>
        <v>179194.72643752722</v>
      </c>
      <c r="I107" s="317">
        <f t="shared" si="29"/>
        <v>179194.72643752722</v>
      </c>
      <c r="J107" s="162">
        <f t="shared" si="19"/>
        <v>0</v>
      </c>
      <c r="K107" s="162"/>
      <c r="L107" s="335"/>
      <c r="M107" s="162">
        <f t="shared" si="21"/>
        <v>0</v>
      </c>
      <c r="N107" s="335"/>
      <c r="O107" s="162">
        <f t="shared" si="23"/>
        <v>0</v>
      </c>
      <c r="P107" s="160">
        <f t="shared" si="24"/>
        <v>0</v>
      </c>
    </row>
    <row r="108" spans="1:16">
      <c r="B108" s="9" t="str">
        <f t="shared" si="25"/>
        <v/>
      </c>
      <c r="C108" s="157">
        <f>IF(D93="","-",+C107+1)</f>
        <v>2020</v>
      </c>
      <c r="D108" s="158">
        <f>IF(F107+SUM(E$99:E107)=D$92,F107,D$92-SUM(E$99:E107))</f>
        <v>1156734.6199999999</v>
      </c>
      <c r="E108" s="165">
        <f>IF(+J96&lt;F107,J96,D108)</f>
        <v>30524</v>
      </c>
      <c r="F108" s="163">
        <f t="shared" si="26"/>
        <v>1126210.6199999999</v>
      </c>
      <c r="G108" s="163">
        <f t="shared" si="27"/>
        <v>1141472.6199999999</v>
      </c>
      <c r="H108" s="167">
        <f t="shared" si="28"/>
        <v>175322.68007123386</v>
      </c>
      <c r="I108" s="317">
        <f t="shared" si="29"/>
        <v>175322.68007123386</v>
      </c>
      <c r="J108" s="162">
        <f t="shared" si="19"/>
        <v>0</v>
      </c>
      <c r="K108" s="162"/>
      <c r="L108" s="335"/>
      <c r="M108" s="162">
        <f t="shared" si="21"/>
        <v>0</v>
      </c>
      <c r="N108" s="335"/>
      <c r="O108" s="162">
        <f t="shared" si="23"/>
        <v>0</v>
      </c>
      <c r="P108" s="160">
        <f t="shared" si="24"/>
        <v>0</v>
      </c>
    </row>
    <row r="109" spans="1:16">
      <c r="B109" s="9" t="str">
        <f t="shared" si="25"/>
        <v/>
      </c>
      <c r="C109" s="157">
        <f>IF(D93="","-",+C108+1)</f>
        <v>2021</v>
      </c>
      <c r="D109" s="158">
        <f>IF(F108+SUM(E$99:E108)=D$92,F108,D$92-SUM(E$99:E108))</f>
        <v>1126210.6199999999</v>
      </c>
      <c r="E109" s="165">
        <f>IF(+J96&lt;F108,J96,D109)</f>
        <v>30524</v>
      </c>
      <c r="F109" s="163">
        <f t="shared" si="26"/>
        <v>1095686.6199999999</v>
      </c>
      <c r="G109" s="163">
        <f t="shared" si="27"/>
        <v>1110948.6199999999</v>
      </c>
      <c r="H109" s="167">
        <f t="shared" si="28"/>
        <v>171450.63370494053</v>
      </c>
      <c r="I109" s="317">
        <f t="shared" si="29"/>
        <v>171450.63370494053</v>
      </c>
      <c r="J109" s="162">
        <f t="shared" si="19"/>
        <v>0</v>
      </c>
      <c r="K109" s="162"/>
      <c r="L109" s="335"/>
      <c r="M109" s="162">
        <f t="shared" si="21"/>
        <v>0</v>
      </c>
      <c r="N109" s="335"/>
      <c r="O109" s="162">
        <f t="shared" si="23"/>
        <v>0</v>
      </c>
      <c r="P109" s="162">
        <f t="shared" si="24"/>
        <v>0</v>
      </c>
    </row>
    <row r="110" spans="1:16">
      <c r="B110" s="9" t="str">
        <f t="shared" si="25"/>
        <v/>
      </c>
      <c r="C110" s="157">
        <f>IF(D93="","-",+C109+1)</f>
        <v>2022</v>
      </c>
      <c r="D110" s="158">
        <f>IF(F109+SUM(E$99:E109)=D$92,F109,D$92-SUM(E$99:E109))</f>
        <v>1095686.6199999999</v>
      </c>
      <c r="E110" s="165">
        <f>IF(+J96&lt;F109,J96,D110)</f>
        <v>30524</v>
      </c>
      <c r="F110" s="163">
        <f t="shared" si="26"/>
        <v>1065162.6199999999</v>
      </c>
      <c r="G110" s="163">
        <f t="shared" si="27"/>
        <v>1080424.6199999999</v>
      </c>
      <c r="H110" s="167">
        <f t="shared" si="28"/>
        <v>167578.58733864719</v>
      </c>
      <c r="I110" s="317">
        <f t="shared" si="29"/>
        <v>167578.58733864719</v>
      </c>
      <c r="J110" s="162">
        <f t="shared" si="19"/>
        <v>0</v>
      </c>
      <c r="K110" s="162"/>
      <c r="L110" s="335"/>
      <c r="M110" s="162">
        <f t="shared" si="21"/>
        <v>0</v>
      </c>
      <c r="N110" s="335"/>
      <c r="O110" s="162">
        <f t="shared" si="23"/>
        <v>0</v>
      </c>
      <c r="P110" s="162">
        <f t="shared" si="24"/>
        <v>0</v>
      </c>
    </row>
    <row r="111" spans="1:16">
      <c r="B111" s="9" t="str">
        <f t="shared" si="25"/>
        <v/>
      </c>
      <c r="C111" s="157">
        <f>IF(D93="","-",+C110+1)</f>
        <v>2023</v>
      </c>
      <c r="D111" s="158">
        <f>IF(F110+SUM(E$99:E110)=D$92,F110,D$92-SUM(E$99:E110))</f>
        <v>1065162.6199999999</v>
      </c>
      <c r="E111" s="165">
        <f>IF(+J96&lt;F110,J96,D111)</f>
        <v>30524</v>
      </c>
      <c r="F111" s="163">
        <f t="shared" si="26"/>
        <v>1034638.6199999999</v>
      </c>
      <c r="G111" s="163">
        <f t="shared" si="27"/>
        <v>1049900.6199999999</v>
      </c>
      <c r="H111" s="167">
        <f t="shared" si="28"/>
        <v>163706.54097235383</v>
      </c>
      <c r="I111" s="317">
        <f t="shared" si="29"/>
        <v>163706.54097235383</v>
      </c>
      <c r="J111" s="162">
        <f t="shared" si="19"/>
        <v>0</v>
      </c>
      <c r="K111" s="162"/>
      <c r="L111" s="335"/>
      <c r="M111" s="162">
        <f t="shared" si="21"/>
        <v>0</v>
      </c>
      <c r="N111" s="335"/>
      <c r="O111" s="162">
        <f t="shared" si="23"/>
        <v>0</v>
      </c>
      <c r="P111" s="162">
        <f t="shared" si="24"/>
        <v>0</v>
      </c>
    </row>
    <row r="112" spans="1:16">
      <c r="B112" s="9" t="str">
        <f t="shared" si="25"/>
        <v/>
      </c>
      <c r="C112" s="157">
        <f>IF(D93="","-",+C111+1)</f>
        <v>2024</v>
      </c>
      <c r="D112" s="158">
        <f>IF(F111+SUM(E$99:E111)=D$92,F111,D$92-SUM(E$99:E111))</f>
        <v>1034638.6199999999</v>
      </c>
      <c r="E112" s="165">
        <f>IF(+J96&lt;F111,J96,D112)</f>
        <v>30524</v>
      </c>
      <c r="F112" s="163">
        <f t="shared" si="26"/>
        <v>1004114.6199999999</v>
      </c>
      <c r="G112" s="163">
        <f t="shared" si="27"/>
        <v>1019376.6199999999</v>
      </c>
      <c r="H112" s="167">
        <f t="shared" si="28"/>
        <v>159834.4946060605</v>
      </c>
      <c r="I112" s="317">
        <f t="shared" si="29"/>
        <v>159834.4946060605</v>
      </c>
      <c r="J112" s="162">
        <f t="shared" si="19"/>
        <v>0</v>
      </c>
      <c r="K112" s="162"/>
      <c r="L112" s="335"/>
      <c r="M112" s="162">
        <f t="shared" si="21"/>
        <v>0</v>
      </c>
      <c r="N112" s="335"/>
      <c r="O112" s="162">
        <f t="shared" si="23"/>
        <v>0</v>
      </c>
      <c r="P112" s="162">
        <f t="shared" si="24"/>
        <v>0</v>
      </c>
    </row>
    <row r="113" spans="2:16">
      <c r="B113" s="9" t="str">
        <f t="shared" si="25"/>
        <v/>
      </c>
      <c r="C113" s="157">
        <f>IF(D93="","-",+C112+1)</f>
        <v>2025</v>
      </c>
      <c r="D113" s="158">
        <f>IF(F112+SUM(E$99:E112)=D$92,F112,D$92-SUM(E$99:E112))</f>
        <v>1004114.6199999999</v>
      </c>
      <c r="E113" s="165">
        <f>IF(+J96&lt;F112,J96,D113)</f>
        <v>30524</v>
      </c>
      <c r="F113" s="163">
        <f t="shared" si="26"/>
        <v>973590.61999999988</v>
      </c>
      <c r="G113" s="163">
        <f t="shared" si="27"/>
        <v>988852.61999999988</v>
      </c>
      <c r="H113" s="167">
        <f t="shared" si="28"/>
        <v>155962.44823976717</v>
      </c>
      <c r="I113" s="317">
        <f t="shared" si="29"/>
        <v>155962.44823976717</v>
      </c>
      <c r="J113" s="162">
        <f t="shared" si="19"/>
        <v>0</v>
      </c>
      <c r="K113" s="162"/>
      <c r="L113" s="335"/>
      <c r="M113" s="162">
        <f t="shared" si="21"/>
        <v>0</v>
      </c>
      <c r="N113" s="335"/>
      <c r="O113" s="162">
        <f t="shared" si="23"/>
        <v>0</v>
      </c>
      <c r="P113" s="162">
        <f t="shared" si="24"/>
        <v>0</v>
      </c>
    </row>
    <row r="114" spans="2:16">
      <c r="B114" s="9" t="str">
        <f t="shared" si="25"/>
        <v/>
      </c>
      <c r="C114" s="157">
        <f>IF(D93="","-",+C113+1)</f>
        <v>2026</v>
      </c>
      <c r="D114" s="158">
        <f>IF(F113+SUM(E$99:E113)=D$92,F113,D$92-SUM(E$99:E113))</f>
        <v>973590.61999999988</v>
      </c>
      <c r="E114" s="165">
        <f>IF(+J96&lt;F113,J96,D114)</f>
        <v>30524</v>
      </c>
      <c r="F114" s="163">
        <f t="shared" si="26"/>
        <v>943066.61999999988</v>
      </c>
      <c r="G114" s="163">
        <f t="shared" si="27"/>
        <v>958328.61999999988</v>
      </c>
      <c r="H114" s="167">
        <f t="shared" si="28"/>
        <v>152090.40187347381</v>
      </c>
      <c r="I114" s="317">
        <f t="shared" si="29"/>
        <v>152090.40187347381</v>
      </c>
      <c r="J114" s="162">
        <f t="shared" si="19"/>
        <v>0</v>
      </c>
      <c r="K114" s="162"/>
      <c r="L114" s="335"/>
      <c r="M114" s="162">
        <f t="shared" si="21"/>
        <v>0</v>
      </c>
      <c r="N114" s="335"/>
      <c r="O114" s="162">
        <f t="shared" si="23"/>
        <v>0</v>
      </c>
      <c r="P114" s="162">
        <f t="shared" si="24"/>
        <v>0</v>
      </c>
    </row>
    <row r="115" spans="2:16">
      <c r="B115" s="9" t="str">
        <f t="shared" si="25"/>
        <v/>
      </c>
      <c r="C115" s="157">
        <f>IF(D93="","-",+C114+1)</f>
        <v>2027</v>
      </c>
      <c r="D115" s="158">
        <f>IF(F114+SUM(E$99:E114)=D$92,F114,D$92-SUM(E$99:E114))</f>
        <v>943066.61999999988</v>
      </c>
      <c r="E115" s="165">
        <f>IF(+J96&lt;F114,J96,D115)</f>
        <v>30524</v>
      </c>
      <c r="F115" s="163">
        <f t="shared" si="26"/>
        <v>912542.61999999988</v>
      </c>
      <c r="G115" s="163">
        <f t="shared" si="27"/>
        <v>927804.61999999988</v>
      </c>
      <c r="H115" s="167">
        <f t="shared" si="28"/>
        <v>148218.35550718044</v>
      </c>
      <c r="I115" s="317">
        <f t="shared" si="29"/>
        <v>148218.35550718044</v>
      </c>
      <c r="J115" s="162">
        <f t="shared" si="19"/>
        <v>0</v>
      </c>
      <c r="K115" s="162"/>
      <c r="L115" s="335"/>
      <c r="M115" s="162">
        <f t="shared" si="21"/>
        <v>0</v>
      </c>
      <c r="N115" s="335"/>
      <c r="O115" s="162">
        <f t="shared" si="23"/>
        <v>0</v>
      </c>
      <c r="P115" s="162">
        <f t="shared" si="24"/>
        <v>0</v>
      </c>
    </row>
    <row r="116" spans="2:16">
      <c r="B116" s="9" t="str">
        <f t="shared" si="25"/>
        <v/>
      </c>
      <c r="C116" s="157">
        <f>IF(D93="","-",+C115+1)</f>
        <v>2028</v>
      </c>
      <c r="D116" s="158">
        <f>IF(F115+SUM(E$99:E115)=D$92,F115,D$92-SUM(E$99:E115))</f>
        <v>912542.61999999988</v>
      </c>
      <c r="E116" s="165">
        <f>IF(+J96&lt;F115,J96,D116)</f>
        <v>30524</v>
      </c>
      <c r="F116" s="163">
        <f t="shared" si="26"/>
        <v>882018.61999999988</v>
      </c>
      <c r="G116" s="163">
        <f t="shared" si="27"/>
        <v>897280.61999999988</v>
      </c>
      <c r="H116" s="167">
        <f t="shared" si="28"/>
        <v>144346.30914088711</v>
      </c>
      <c r="I116" s="317">
        <f t="shared" si="29"/>
        <v>144346.30914088711</v>
      </c>
      <c r="J116" s="162">
        <f t="shared" si="19"/>
        <v>0</v>
      </c>
      <c r="K116" s="162"/>
      <c r="L116" s="335"/>
      <c r="M116" s="162">
        <f t="shared" si="21"/>
        <v>0</v>
      </c>
      <c r="N116" s="335"/>
      <c r="O116" s="162">
        <f t="shared" si="23"/>
        <v>0</v>
      </c>
      <c r="P116" s="162">
        <f t="shared" si="24"/>
        <v>0</v>
      </c>
    </row>
    <row r="117" spans="2:16">
      <c r="B117" s="9" t="str">
        <f t="shared" si="25"/>
        <v/>
      </c>
      <c r="C117" s="157">
        <f>IF(D93="","-",+C116+1)</f>
        <v>2029</v>
      </c>
      <c r="D117" s="158">
        <f>IF(F116+SUM(E$99:E116)=D$92,F116,D$92-SUM(E$99:E116))</f>
        <v>882018.61999999988</v>
      </c>
      <c r="E117" s="165">
        <f>IF(+J96&lt;F116,J96,D117)</f>
        <v>30524</v>
      </c>
      <c r="F117" s="163">
        <f t="shared" si="26"/>
        <v>851494.61999999988</v>
      </c>
      <c r="G117" s="163">
        <f t="shared" si="27"/>
        <v>866756.61999999988</v>
      </c>
      <c r="H117" s="167">
        <f t="shared" si="28"/>
        <v>140474.26277459378</v>
      </c>
      <c r="I117" s="317">
        <f t="shared" si="29"/>
        <v>140474.26277459378</v>
      </c>
      <c r="J117" s="162">
        <f t="shared" si="19"/>
        <v>0</v>
      </c>
      <c r="K117" s="162"/>
      <c r="L117" s="335"/>
      <c r="M117" s="162">
        <f t="shared" si="21"/>
        <v>0</v>
      </c>
      <c r="N117" s="335"/>
      <c r="O117" s="162">
        <f t="shared" si="23"/>
        <v>0</v>
      </c>
      <c r="P117" s="162">
        <f t="shared" si="24"/>
        <v>0</v>
      </c>
    </row>
    <row r="118" spans="2:16">
      <c r="B118" s="9" t="str">
        <f t="shared" si="25"/>
        <v/>
      </c>
      <c r="C118" s="157">
        <f>IF(D93="","-",+C117+1)</f>
        <v>2030</v>
      </c>
      <c r="D118" s="158">
        <f>IF(F117+SUM(E$99:E117)=D$92,F117,D$92-SUM(E$99:E117))</f>
        <v>851494.61999999988</v>
      </c>
      <c r="E118" s="165">
        <f>IF(+J96&lt;F117,J96,D118)</f>
        <v>30524</v>
      </c>
      <c r="F118" s="163">
        <f t="shared" si="26"/>
        <v>820970.61999999988</v>
      </c>
      <c r="G118" s="163">
        <f t="shared" si="27"/>
        <v>836232.61999999988</v>
      </c>
      <c r="H118" s="167">
        <f t="shared" si="28"/>
        <v>136602.21640830045</v>
      </c>
      <c r="I118" s="317">
        <f t="shared" si="29"/>
        <v>136602.21640830045</v>
      </c>
      <c r="J118" s="162">
        <f t="shared" si="19"/>
        <v>0</v>
      </c>
      <c r="K118" s="162"/>
      <c r="L118" s="335"/>
      <c r="M118" s="162">
        <f t="shared" si="21"/>
        <v>0</v>
      </c>
      <c r="N118" s="335"/>
      <c r="O118" s="162">
        <f t="shared" si="23"/>
        <v>0</v>
      </c>
      <c r="P118" s="162">
        <f t="shared" si="24"/>
        <v>0</v>
      </c>
    </row>
    <row r="119" spans="2:16">
      <c r="B119" s="9" t="str">
        <f t="shared" si="25"/>
        <v/>
      </c>
      <c r="C119" s="157">
        <f>IF(D93="","-",+C118+1)</f>
        <v>2031</v>
      </c>
      <c r="D119" s="158">
        <f>IF(F118+SUM(E$99:E118)=D$92,F118,D$92-SUM(E$99:E118))</f>
        <v>820970.61999999988</v>
      </c>
      <c r="E119" s="165">
        <f>IF(+J96&lt;F118,J96,D119)</f>
        <v>30524</v>
      </c>
      <c r="F119" s="163">
        <f t="shared" si="26"/>
        <v>790446.61999999988</v>
      </c>
      <c r="G119" s="163">
        <f t="shared" si="27"/>
        <v>805708.61999999988</v>
      </c>
      <c r="H119" s="167">
        <f t="shared" si="28"/>
        <v>132730.17004200708</v>
      </c>
      <c r="I119" s="317">
        <f t="shared" si="29"/>
        <v>132730.17004200708</v>
      </c>
      <c r="J119" s="162">
        <f t="shared" si="19"/>
        <v>0</v>
      </c>
      <c r="K119" s="162"/>
      <c r="L119" s="335"/>
      <c r="M119" s="162">
        <f t="shared" si="21"/>
        <v>0</v>
      </c>
      <c r="N119" s="335"/>
      <c r="O119" s="162">
        <f t="shared" si="23"/>
        <v>0</v>
      </c>
      <c r="P119" s="162">
        <f t="shared" si="24"/>
        <v>0</v>
      </c>
    </row>
    <row r="120" spans="2:16">
      <c r="B120" s="9" t="str">
        <f t="shared" si="25"/>
        <v/>
      </c>
      <c r="C120" s="157">
        <f>IF(D93="","-",+C119+1)</f>
        <v>2032</v>
      </c>
      <c r="D120" s="158">
        <f>IF(F119+SUM(E$99:E119)=D$92,F119,D$92-SUM(E$99:E119))</f>
        <v>790446.61999999988</v>
      </c>
      <c r="E120" s="165">
        <f>IF(+J96&lt;F119,J96,D120)</f>
        <v>30524</v>
      </c>
      <c r="F120" s="163">
        <f t="shared" si="26"/>
        <v>759922.61999999988</v>
      </c>
      <c r="G120" s="163">
        <f t="shared" si="27"/>
        <v>775184.61999999988</v>
      </c>
      <c r="H120" s="167">
        <f t="shared" si="28"/>
        <v>128858.12367571374</v>
      </c>
      <c r="I120" s="317">
        <f t="shared" si="29"/>
        <v>128858.12367571374</v>
      </c>
      <c r="J120" s="162">
        <f t="shared" si="19"/>
        <v>0</v>
      </c>
      <c r="K120" s="162"/>
      <c r="L120" s="335"/>
      <c r="M120" s="162">
        <f t="shared" si="21"/>
        <v>0</v>
      </c>
      <c r="N120" s="335"/>
      <c r="O120" s="162">
        <f t="shared" si="23"/>
        <v>0</v>
      </c>
      <c r="P120" s="162">
        <f t="shared" si="24"/>
        <v>0</v>
      </c>
    </row>
    <row r="121" spans="2:16">
      <c r="B121" s="9" t="str">
        <f t="shared" si="25"/>
        <v/>
      </c>
      <c r="C121" s="157">
        <f>IF(D93="","-",+C120+1)</f>
        <v>2033</v>
      </c>
      <c r="D121" s="158">
        <f>IF(F120+SUM(E$99:E120)=D$92,F120,D$92-SUM(E$99:E120))</f>
        <v>759922.61999999988</v>
      </c>
      <c r="E121" s="165">
        <f>IF(+J96&lt;F120,J96,D121)</f>
        <v>30524</v>
      </c>
      <c r="F121" s="163">
        <f t="shared" si="26"/>
        <v>729398.61999999988</v>
      </c>
      <c r="G121" s="163">
        <f t="shared" si="27"/>
        <v>744660.61999999988</v>
      </c>
      <c r="H121" s="167">
        <f t="shared" si="28"/>
        <v>124986.07730942039</v>
      </c>
      <c r="I121" s="317">
        <f t="shared" si="29"/>
        <v>124986.07730942039</v>
      </c>
      <c r="J121" s="162">
        <f t="shared" si="19"/>
        <v>0</v>
      </c>
      <c r="K121" s="162"/>
      <c r="L121" s="335"/>
      <c r="M121" s="162">
        <f t="shared" si="21"/>
        <v>0</v>
      </c>
      <c r="N121" s="335"/>
      <c r="O121" s="162">
        <f t="shared" si="23"/>
        <v>0</v>
      </c>
      <c r="P121" s="162">
        <f t="shared" si="24"/>
        <v>0</v>
      </c>
    </row>
    <row r="122" spans="2:16">
      <c r="B122" s="9" t="str">
        <f t="shared" si="25"/>
        <v/>
      </c>
      <c r="C122" s="157">
        <f>IF(D93="","-",+C121+1)</f>
        <v>2034</v>
      </c>
      <c r="D122" s="158">
        <f>IF(F121+SUM(E$99:E121)=D$92,F121,D$92-SUM(E$99:E121))</f>
        <v>729398.61999999988</v>
      </c>
      <c r="E122" s="165">
        <f>IF(+J96&lt;F121,J96,D122)</f>
        <v>30524</v>
      </c>
      <c r="F122" s="163">
        <f t="shared" si="26"/>
        <v>698874.61999999988</v>
      </c>
      <c r="G122" s="163">
        <f t="shared" si="27"/>
        <v>714136.61999999988</v>
      </c>
      <c r="H122" s="167">
        <f t="shared" si="28"/>
        <v>121114.03094312706</v>
      </c>
      <c r="I122" s="317">
        <f t="shared" si="29"/>
        <v>121114.03094312706</v>
      </c>
      <c r="J122" s="162">
        <f t="shared" si="19"/>
        <v>0</v>
      </c>
      <c r="K122" s="162"/>
      <c r="L122" s="335"/>
      <c r="M122" s="162">
        <f t="shared" si="21"/>
        <v>0</v>
      </c>
      <c r="N122" s="335"/>
      <c r="O122" s="162">
        <f t="shared" si="23"/>
        <v>0</v>
      </c>
      <c r="P122" s="162">
        <f t="shared" si="24"/>
        <v>0</v>
      </c>
    </row>
    <row r="123" spans="2:16">
      <c r="B123" s="9" t="str">
        <f t="shared" si="25"/>
        <v/>
      </c>
      <c r="C123" s="157">
        <f>IF(D93="","-",+C122+1)</f>
        <v>2035</v>
      </c>
      <c r="D123" s="158">
        <f>IF(F122+SUM(E$99:E122)=D$92,F122,D$92-SUM(E$99:E122))</f>
        <v>698874.61999999988</v>
      </c>
      <c r="E123" s="165">
        <f>IF(+J96&lt;F122,J96,D123)</f>
        <v>30524</v>
      </c>
      <c r="F123" s="163">
        <f t="shared" si="26"/>
        <v>668350.61999999988</v>
      </c>
      <c r="G123" s="163">
        <f t="shared" si="27"/>
        <v>683612.61999999988</v>
      </c>
      <c r="H123" s="167">
        <f t="shared" si="28"/>
        <v>117241.98457683371</v>
      </c>
      <c r="I123" s="317">
        <f t="shared" si="29"/>
        <v>117241.98457683371</v>
      </c>
      <c r="J123" s="162">
        <f t="shared" si="19"/>
        <v>0</v>
      </c>
      <c r="K123" s="162"/>
      <c r="L123" s="335"/>
      <c r="M123" s="162">
        <f t="shared" si="21"/>
        <v>0</v>
      </c>
      <c r="N123" s="335"/>
      <c r="O123" s="162">
        <f t="shared" si="23"/>
        <v>0</v>
      </c>
      <c r="P123" s="162">
        <f t="shared" si="24"/>
        <v>0</v>
      </c>
    </row>
    <row r="124" spans="2:16">
      <c r="B124" s="9" t="str">
        <f t="shared" si="25"/>
        <v/>
      </c>
      <c r="C124" s="157">
        <f>IF(D93="","-",+C123+1)</f>
        <v>2036</v>
      </c>
      <c r="D124" s="158">
        <f>IF(F123+SUM(E$99:E123)=D$92,F123,D$92-SUM(E$99:E123))</f>
        <v>668350.61999999988</v>
      </c>
      <c r="E124" s="165">
        <f>IF(+J96&lt;F123,J96,D124)</f>
        <v>30524</v>
      </c>
      <c r="F124" s="163">
        <f t="shared" si="26"/>
        <v>637826.61999999988</v>
      </c>
      <c r="G124" s="163">
        <f t="shared" si="27"/>
        <v>653088.61999999988</v>
      </c>
      <c r="H124" s="167">
        <f t="shared" si="28"/>
        <v>113369.93821054036</v>
      </c>
      <c r="I124" s="317">
        <f t="shared" si="29"/>
        <v>113369.93821054036</v>
      </c>
      <c r="J124" s="162">
        <f t="shared" si="19"/>
        <v>0</v>
      </c>
      <c r="K124" s="162"/>
      <c r="L124" s="335"/>
      <c r="M124" s="162">
        <f t="shared" si="21"/>
        <v>0</v>
      </c>
      <c r="N124" s="335"/>
      <c r="O124" s="162">
        <f t="shared" si="23"/>
        <v>0</v>
      </c>
      <c r="P124" s="162">
        <f t="shared" si="24"/>
        <v>0</v>
      </c>
    </row>
    <row r="125" spans="2:16">
      <c r="B125" s="9" t="str">
        <f t="shared" si="25"/>
        <v/>
      </c>
      <c r="C125" s="157">
        <f>IF(D93="","-",+C124+1)</f>
        <v>2037</v>
      </c>
      <c r="D125" s="158">
        <f>IF(F124+SUM(E$99:E124)=D$92,F124,D$92-SUM(E$99:E124))</f>
        <v>637826.61999999988</v>
      </c>
      <c r="E125" s="165">
        <f>IF(+J96&lt;F124,J96,D125)</f>
        <v>30524</v>
      </c>
      <c r="F125" s="163">
        <f t="shared" si="26"/>
        <v>607302.61999999988</v>
      </c>
      <c r="G125" s="163">
        <f t="shared" si="27"/>
        <v>622564.61999999988</v>
      </c>
      <c r="H125" s="167">
        <f t="shared" si="28"/>
        <v>109497.89184424702</v>
      </c>
      <c r="I125" s="317">
        <f t="shared" si="29"/>
        <v>109497.89184424702</v>
      </c>
      <c r="J125" s="162">
        <f t="shared" si="19"/>
        <v>0</v>
      </c>
      <c r="K125" s="162"/>
      <c r="L125" s="335"/>
      <c r="M125" s="162">
        <f t="shared" si="21"/>
        <v>0</v>
      </c>
      <c r="N125" s="335"/>
      <c r="O125" s="162">
        <f t="shared" si="23"/>
        <v>0</v>
      </c>
      <c r="P125" s="162">
        <f t="shared" si="24"/>
        <v>0</v>
      </c>
    </row>
    <row r="126" spans="2:16">
      <c r="B126" s="9" t="str">
        <f t="shared" si="25"/>
        <v/>
      </c>
      <c r="C126" s="157">
        <f>IF(D93="","-",+C125+1)</f>
        <v>2038</v>
      </c>
      <c r="D126" s="158">
        <f>IF(F125+SUM(E$99:E125)=D$92,F125,D$92-SUM(E$99:E125))</f>
        <v>607302.61999999988</v>
      </c>
      <c r="E126" s="165">
        <f>IF(+J96&lt;F125,J96,D126)</f>
        <v>30524</v>
      </c>
      <c r="F126" s="163">
        <f t="shared" si="26"/>
        <v>576778.61999999988</v>
      </c>
      <c r="G126" s="163">
        <f t="shared" si="27"/>
        <v>592040.61999999988</v>
      </c>
      <c r="H126" s="167">
        <f t="shared" si="28"/>
        <v>105625.84547795367</v>
      </c>
      <c r="I126" s="317">
        <f t="shared" si="29"/>
        <v>105625.84547795367</v>
      </c>
      <c r="J126" s="162">
        <f t="shared" si="19"/>
        <v>0</v>
      </c>
      <c r="K126" s="162"/>
      <c r="L126" s="335"/>
      <c r="M126" s="162">
        <f t="shared" si="21"/>
        <v>0</v>
      </c>
      <c r="N126" s="335"/>
      <c r="O126" s="162">
        <f t="shared" si="23"/>
        <v>0</v>
      </c>
      <c r="P126" s="162">
        <f t="shared" si="24"/>
        <v>0</v>
      </c>
    </row>
    <row r="127" spans="2:16">
      <c r="B127" s="9" t="str">
        <f t="shared" si="25"/>
        <v/>
      </c>
      <c r="C127" s="157">
        <f>IF(D93="","-",+C126+1)</f>
        <v>2039</v>
      </c>
      <c r="D127" s="158">
        <f>IF(F126+SUM(E$99:E126)=D$92,F126,D$92-SUM(E$99:E126))</f>
        <v>576778.61999999988</v>
      </c>
      <c r="E127" s="165">
        <f>IF(+J96&lt;F126,J96,D127)</f>
        <v>30524</v>
      </c>
      <c r="F127" s="163">
        <f t="shared" si="26"/>
        <v>546254.61999999988</v>
      </c>
      <c r="G127" s="163">
        <f t="shared" si="27"/>
        <v>561516.61999999988</v>
      </c>
      <c r="H127" s="167">
        <f t="shared" si="28"/>
        <v>101753.79911166034</v>
      </c>
      <c r="I127" s="317">
        <f t="shared" si="29"/>
        <v>101753.79911166034</v>
      </c>
      <c r="J127" s="162">
        <f t="shared" si="19"/>
        <v>0</v>
      </c>
      <c r="K127" s="162"/>
      <c r="L127" s="335"/>
      <c r="M127" s="162">
        <f t="shared" si="21"/>
        <v>0</v>
      </c>
      <c r="N127" s="335"/>
      <c r="O127" s="162">
        <f t="shared" si="23"/>
        <v>0</v>
      </c>
      <c r="P127" s="162">
        <f t="shared" si="24"/>
        <v>0</v>
      </c>
    </row>
    <row r="128" spans="2:16">
      <c r="B128" s="9" t="str">
        <f t="shared" si="25"/>
        <v/>
      </c>
      <c r="C128" s="157">
        <f>IF(D93="","-",+C127+1)</f>
        <v>2040</v>
      </c>
      <c r="D128" s="158">
        <f>IF(F127+SUM(E$99:E127)=D$92,F127,D$92-SUM(E$99:E127))</f>
        <v>546254.61999999988</v>
      </c>
      <c r="E128" s="165">
        <f>IF(+J96&lt;F127,J96,D128)</f>
        <v>30524</v>
      </c>
      <c r="F128" s="163">
        <f t="shared" si="26"/>
        <v>515730.61999999988</v>
      </c>
      <c r="G128" s="163">
        <f t="shared" si="27"/>
        <v>530992.61999999988</v>
      </c>
      <c r="H128" s="167">
        <f t="shared" si="28"/>
        <v>97881.75274536699</v>
      </c>
      <c r="I128" s="317">
        <f t="shared" si="29"/>
        <v>97881.75274536699</v>
      </c>
      <c r="J128" s="162">
        <f t="shared" si="19"/>
        <v>0</v>
      </c>
      <c r="K128" s="162"/>
      <c r="L128" s="335"/>
      <c r="M128" s="162">
        <f t="shared" si="21"/>
        <v>0</v>
      </c>
      <c r="N128" s="335"/>
      <c r="O128" s="162">
        <f t="shared" si="23"/>
        <v>0</v>
      </c>
      <c r="P128" s="162">
        <f t="shared" si="24"/>
        <v>0</v>
      </c>
    </row>
    <row r="129" spans="2:16">
      <c r="B129" s="9" t="str">
        <f t="shared" si="25"/>
        <v/>
      </c>
      <c r="C129" s="157">
        <f>IF(D93="","-",+C128+1)</f>
        <v>2041</v>
      </c>
      <c r="D129" s="158">
        <f>IF(F128+SUM(E$99:E128)=D$92,F128,D$92-SUM(E$99:E128))</f>
        <v>515730.61999999988</v>
      </c>
      <c r="E129" s="165">
        <f t="shared" ref="E129:E154" si="30">IF(+J$96&lt;F128,J$96,D129)</f>
        <v>30524</v>
      </c>
      <c r="F129" s="163">
        <f t="shared" si="26"/>
        <v>485206.61999999988</v>
      </c>
      <c r="G129" s="163">
        <f t="shared" si="27"/>
        <v>500468.61999999988</v>
      </c>
      <c r="H129" s="167">
        <f t="shared" si="28"/>
        <v>94009.706379073643</v>
      </c>
      <c r="I129" s="317">
        <f t="shared" si="29"/>
        <v>94009.706379073643</v>
      </c>
      <c r="J129" s="162">
        <f t="shared" si="19"/>
        <v>0</v>
      </c>
      <c r="K129" s="162"/>
      <c r="L129" s="335"/>
      <c r="M129" s="162">
        <f t="shared" si="21"/>
        <v>0</v>
      </c>
      <c r="N129" s="335"/>
      <c r="O129" s="162">
        <f t="shared" si="23"/>
        <v>0</v>
      </c>
      <c r="P129" s="162">
        <f t="shared" si="24"/>
        <v>0</v>
      </c>
    </row>
    <row r="130" spans="2:16">
      <c r="B130" s="9" t="str">
        <f t="shared" si="25"/>
        <v/>
      </c>
      <c r="C130" s="157">
        <f>IF(D93="","-",+C129+1)</f>
        <v>2042</v>
      </c>
      <c r="D130" s="158">
        <f>IF(F129+SUM(E$99:E129)=D$92,F129,D$92-SUM(E$99:E129))</f>
        <v>485206.61999999988</v>
      </c>
      <c r="E130" s="165">
        <f t="shared" si="30"/>
        <v>30524</v>
      </c>
      <c r="F130" s="163">
        <f t="shared" si="26"/>
        <v>454682.61999999988</v>
      </c>
      <c r="G130" s="163">
        <f t="shared" si="27"/>
        <v>469944.61999999988</v>
      </c>
      <c r="H130" s="167">
        <f t="shared" si="28"/>
        <v>90137.66001278031</v>
      </c>
      <c r="I130" s="317">
        <f t="shared" si="29"/>
        <v>90137.66001278031</v>
      </c>
      <c r="J130" s="162">
        <f t="shared" si="19"/>
        <v>0</v>
      </c>
      <c r="K130" s="162"/>
      <c r="L130" s="335"/>
      <c r="M130" s="162">
        <f t="shared" si="21"/>
        <v>0</v>
      </c>
      <c r="N130" s="335"/>
      <c r="O130" s="162">
        <f t="shared" si="23"/>
        <v>0</v>
      </c>
      <c r="P130" s="162">
        <f t="shared" si="24"/>
        <v>0</v>
      </c>
    </row>
    <row r="131" spans="2:16">
      <c r="B131" s="9" t="str">
        <f t="shared" si="25"/>
        <v/>
      </c>
      <c r="C131" s="157">
        <f>IF(D93="","-",+C130+1)</f>
        <v>2043</v>
      </c>
      <c r="D131" s="158">
        <f>IF(F130+SUM(E$99:E130)=D$92,F130,D$92-SUM(E$99:E130))</f>
        <v>454682.61999999988</v>
      </c>
      <c r="E131" s="165">
        <f t="shared" si="30"/>
        <v>30524</v>
      </c>
      <c r="F131" s="163">
        <f t="shared" ref="F131:F154" si="31">+D131-E131</f>
        <v>424158.61999999988</v>
      </c>
      <c r="G131" s="163">
        <f t="shared" ref="G131:G154" si="32">+(F131+D131)/2</f>
        <v>439420.61999999988</v>
      </c>
      <c r="H131" s="167">
        <f t="shared" ref="H131:H154" si="33">+J$94*G131+E131</f>
        <v>86265.613646486949</v>
      </c>
      <c r="I131" s="317">
        <f t="shared" ref="I131:I154" si="34">+J$95*G131+E131</f>
        <v>86265.613646486949</v>
      </c>
      <c r="J131" s="162">
        <f t="shared" ref="J131:J154" si="35">+I541-H541</f>
        <v>0</v>
      </c>
      <c r="K131" s="162"/>
      <c r="L131" s="335"/>
      <c r="M131" s="162">
        <f t="shared" ref="M131:M154" si="36">IF(L541&lt;&gt;0,+H541-L541,0)</f>
        <v>0</v>
      </c>
      <c r="N131" s="335"/>
      <c r="O131" s="162">
        <f t="shared" ref="O131:O154" si="37">IF(N541&lt;&gt;0,+I541-N541,0)</f>
        <v>0</v>
      </c>
      <c r="P131" s="162">
        <f t="shared" ref="P131:P154" si="38">+O541-M541</f>
        <v>0</v>
      </c>
    </row>
    <row r="132" spans="2:16">
      <c r="B132" s="9" t="str">
        <f t="shared" ref="B132:B154" si="39">IF(D132=F131,"","IU")</f>
        <v/>
      </c>
      <c r="C132" s="157">
        <f>IF(D93="","-",+C131+1)</f>
        <v>2044</v>
      </c>
      <c r="D132" s="158">
        <f>IF(F131+SUM(E$99:E131)=D$92,F131,D$92-SUM(E$99:E131))</f>
        <v>424158.61999999988</v>
      </c>
      <c r="E132" s="165">
        <f t="shared" si="30"/>
        <v>30524</v>
      </c>
      <c r="F132" s="163">
        <f t="shared" si="31"/>
        <v>393634.61999999988</v>
      </c>
      <c r="G132" s="163">
        <f t="shared" si="32"/>
        <v>408896.61999999988</v>
      </c>
      <c r="H132" s="167">
        <f t="shared" si="33"/>
        <v>82393.567280193616</v>
      </c>
      <c r="I132" s="317">
        <f t="shared" si="34"/>
        <v>82393.567280193616</v>
      </c>
      <c r="J132" s="162">
        <f t="shared" si="35"/>
        <v>0</v>
      </c>
      <c r="K132" s="162"/>
      <c r="L132" s="335"/>
      <c r="M132" s="162">
        <f t="shared" si="36"/>
        <v>0</v>
      </c>
      <c r="N132" s="335"/>
      <c r="O132" s="162">
        <f t="shared" si="37"/>
        <v>0</v>
      </c>
      <c r="P132" s="162">
        <f t="shared" si="38"/>
        <v>0</v>
      </c>
    </row>
    <row r="133" spans="2:16">
      <c r="B133" s="9" t="str">
        <f t="shared" si="39"/>
        <v/>
      </c>
      <c r="C133" s="157">
        <f>IF(D93="","-",+C132+1)</f>
        <v>2045</v>
      </c>
      <c r="D133" s="158">
        <f>IF(F132+SUM(E$99:E132)=D$92,F132,D$92-SUM(E$99:E132))</f>
        <v>393634.61999999988</v>
      </c>
      <c r="E133" s="165">
        <f t="shared" si="30"/>
        <v>30524</v>
      </c>
      <c r="F133" s="163">
        <f t="shared" si="31"/>
        <v>363110.61999999988</v>
      </c>
      <c r="G133" s="163">
        <f t="shared" si="32"/>
        <v>378372.61999999988</v>
      </c>
      <c r="H133" s="167">
        <f t="shared" si="33"/>
        <v>78521.520913900269</v>
      </c>
      <c r="I133" s="317">
        <f t="shared" si="34"/>
        <v>78521.520913900269</v>
      </c>
      <c r="J133" s="162">
        <f t="shared" si="35"/>
        <v>0</v>
      </c>
      <c r="K133" s="162"/>
      <c r="L133" s="335"/>
      <c r="M133" s="162">
        <f t="shared" si="36"/>
        <v>0</v>
      </c>
      <c r="N133" s="335"/>
      <c r="O133" s="162">
        <f t="shared" si="37"/>
        <v>0</v>
      </c>
      <c r="P133" s="162">
        <f t="shared" si="38"/>
        <v>0</v>
      </c>
    </row>
    <row r="134" spans="2:16">
      <c r="B134" s="9" t="str">
        <f t="shared" si="39"/>
        <v/>
      </c>
      <c r="C134" s="157">
        <f>IF(D93="","-",+C133+1)</f>
        <v>2046</v>
      </c>
      <c r="D134" s="158">
        <f>IF(F133+SUM(E$99:E133)=D$92,F133,D$92-SUM(E$99:E133))</f>
        <v>363110.61999999988</v>
      </c>
      <c r="E134" s="165">
        <f t="shared" si="30"/>
        <v>30524</v>
      </c>
      <c r="F134" s="163">
        <f t="shared" si="31"/>
        <v>332586.61999999988</v>
      </c>
      <c r="G134" s="163">
        <f t="shared" si="32"/>
        <v>347848.61999999988</v>
      </c>
      <c r="H134" s="167">
        <f t="shared" si="33"/>
        <v>74649.474547606922</v>
      </c>
      <c r="I134" s="317">
        <f t="shared" si="34"/>
        <v>74649.474547606922</v>
      </c>
      <c r="J134" s="162">
        <f t="shared" si="35"/>
        <v>0</v>
      </c>
      <c r="K134" s="162"/>
      <c r="L134" s="335"/>
      <c r="M134" s="162">
        <f t="shared" si="36"/>
        <v>0</v>
      </c>
      <c r="N134" s="335"/>
      <c r="O134" s="162">
        <f t="shared" si="37"/>
        <v>0</v>
      </c>
      <c r="P134" s="162">
        <f t="shared" si="38"/>
        <v>0</v>
      </c>
    </row>
    <row r="135" spans="2:16">
      <c r="B135" s="9" t="str">
        <f t="shared" si="39"/>
        <v/>
      </c>
      <c r="C135" s="157">
        <f>IF(D93="","-",+C134+1)</f>
        <v>2047</v>
      </c>
      <c r="D135" s="158">
        <f>IF(F134+SUM(E$99:E134)=D$92,F134,D$92-SUM(E$99:E134))</f>
        <v>332586.61999999988</v>
      </c>
      <c r="E135" s="165">
        <f t="shared" si="30"/>
        <v>30524</v>
      </c>
      <c r="F135" s="163">
        <f t="shared" si="31"/>
        <v>302062.61999999988</v>
      </c>
      <c r="G135" s="163">
        <f t="shared" si="32"/>
        <v>317324.61999999988</v>
      </c>
      <c r="H135" s="167">
        <f t="shared" si="33"/>
        <v>70777.428181313589</v>
      </c>
      <c r="I135" s="317">
        <f t="shared" si="34"/>
        <v>70777.428181313589</v>
      </c>
      <c r="J135" s="162">
        <f t="shared" si="35"/>
        <v>0</v>
      </c>
      <c r="K135" s="162"/>
      <c r="L135" s="335"/>
      <c r="M135" s="162">
        <f t="shared" si="36"/>
        <v>0</v>
      </c>
      <c r="N135" s="335"/>
      <c r="O135" s="162">
        <f t="shared" si="37"/>
        <v>0</v>
      </c>
      <c r="P135" s="162">
        <f t="shared" si="38"/>
        <v>0</v>
      </c>
    </row>
    <row r="136" spans="2:16">
      <c r="B136" s="9" t="str">
        <f t="shared" si="39"/>
        <v/>
      </c>
      <c r="C136" s="157">
        <f>IF(D93="","-",+C135+1)</f>
        <v>2048</v>
      </c>
      <c r="D136" s="158">
        <f>IF(F135+SUM(E$99:E135)=D$92,F135,D$92-SUM(E$99:E135))</f>
        <v>302062.61999999988</v>
      </c>
      <c r="E136" s="165">
        <f t="shared" si="30"/>
        <v>30524</v>
      </c>
      <c r="F136" s="163">
        <f t="shared" si="31"/>
        <v>271538.61999999988</v>
      </c>
      <c r="G136" s="163">
        <f t="shared" si="32"/>
        <v>286800.61999999988</v>
      </c>
      <c r="H136" s="167">
        <f t="shared" si="33"/>
        <v>66905.381815020228</v>
      </c>
      <c r="I136" s="317">
        <f t="shared" si="34"/>
        <v>66905.381815020228</v>
      </c>
      <c r="J136" s="162">
        <f t="shared" si="35"/>
        <v>0</v>
      </c>
      <c r="K136" s="162"/>
      <c r="L136" s="335"/>
      <c r="M136" s="162">
        <f t="shared" si="36"/>
        <v>0</v>
      </c>
      <c r="N136" s="335"/>
      <c r="O136" s="162">
        <f t="shared" si="37"/>
        <v>0</v>
      </c>
      <c r="P136" s="162">
        <f t="shared" si="38"/>
        <v>0</v>
      </c>
    </row>
    <row r="137" spans="2:16">
      <c r="B137" s="9" t="str">
        <f t="shared" si="39"/>
        <v/>
      </c>
      <c r="C137" s="157">
        <f>IF(D93="","-",+C136+1)</f>
        <v>2049</v>
      </c>
      <c r="D137" s="158">
        <f>IF(F136+SUM(E$99:E136)=D$92,F136,D$92-SUM(E$99:E136))</f>
        <v>271538.61999999988</v>
      </c>
      <c r="E137" s="165">
        <f t="shared" si="30"/>
        <v>30524</v>
      </c>
      <c r="F137" s="163">
        <f t="shared" si="31"/>
        <v>241014.61999999988</v>
      </c>
      <c r="G137" s="163">
        <f t="shared" si="32"/>
        <v>256276.61999999988</v>
      </c>
      <c r="H137" s="167">
        <f t="shared" si="33"/>
        <v>63033.335448726895</v>
      </c>
      <c r="I137" s="317">
        <f t="shared" si="34"/>
        <v>63033.335448726895</v>
      </c>
      <c r="J137" s="162">
        <f t="shared" si="35"/>
        <v>0</v>
      </c>
      <c r="K137" s="162"/>
      <c r="L137" s="335"/>
      <c r="M137" s="162">
        <f t="shared" si="36"/>
        <v>0</v>
      </c>
      <c r="N137" s="335"/>
      <c r="O137" s="162">
        <f t="shared" si="37"/>
        <v>0</v>
      </c>
      <c r="P137" s="162">
        <f t="shared" si="38"/>
        <v>0</v>
      </c>
    </row>
    <row r="138" spans="2:16">
      <c r="B138" s="9" t="str">
        <f t="shared" si="39"/>
        <v/>
      </c>
      <c r="C138" s="157">
        <f>IF(D93="","-",+C137+1)</f>
        <v>2050</v>
      </c>
      <c r="D138" s="158">
        <f>IF(F137+SUM(E$99:E137)=D$92,F137,D$92-SUM(E$99:E137))</f>
        <v>241014.61999999988</v>
      </c>
      <c r="E138" s="165">
        <f t="shared" si="30"/>
        <v>30524</v>
      </c>
      <c r="F138" s="163">
        <f t="shared" si="31"/>
        <v>210490.61999999988</v>
      </c>
      <c r="G138" s="163">
        <f t="shared" si="32"/>
        <v>225752.61999999988</v>
      </c>
      <c r="H138" s="167">
        <f t="shared" si="33"/>
        <v>59161.289082433548</v>
      </c>
      <c r="I138" s="317">
        <f t="shared" si="34"/>
        <v>59161.289082433548</v>
      </c>
      <c r="J138" s="162">
        <f t="shared" si="35"/>
        <v>0</v>
      </c>
      <c r="K138" s="162"/>
      <c r="L138" s="335"/>
      <c r="M138" s="162">
        <f t="shared" si="36"/>
        <v>0</v>
      </c>
      <c r="N138" s="335"/>
      <c r="O138" s="162">
        <f t="shared" si="37"/>
        <v>0</v>
      </c>
      <c r="P138" s="162">
        <f t="shared" si="38"/>
        <v>0</v>
      </c>
    </row>
    <row r="139" spans="2:16">
      <c r="B139" s="9" t="str">
        <f t="shared" si="39"/>
        <v/>
      </c>
      <c r="C139" s="157">
        <f>IF(D93="","-",+C138+1)</f>
        <v>2051</v>
      </c>
      <c r="D139" s="158">
        <f>IF(F138+SUM(E$99:E138)=D$92,F138,D$92-SUM(E$99:E138))</f>
        <v>210490.61999999988</v>
      </c>
      <c r="E139" s="165">
        <f t="shared" si="30"/>
        <v>30524</v>
      </c>
      <c r="F139" s="163">
        <f t="shared" si="31"/>
        <v>179966.61999999988</v>
      </c>
      <c r="G139" s="163">
        <f t="shared" si="32"/>
        <v>195228.61999999988</v>
      </c>
      <c r="H139" s="167">
        <f t="shared" si="33"/>
        <v>55289.242716140201</v>
      </c>
      <c r="I139" s="317">
        <f t="shared" si="34"/>
        <v>55289.242716140201</v>
      </c>
      <c r="J139" s="162">
        <f t="shared" si="35"/>
        <v>0</v>
      </c>
      <c r="K139" s="162"/>
      <c r="L139" s="335"/>
      <c r="M139" s="162">
        <f t="shared" si="36"/>
        <v>0</v>
      </c>
      <c r="N139" s="335"/>
      <c r="O139" s="162">
        <f t="shared" si="37"/>
        <v>0</v>
      </c>
      <c r="P139" s="162">
        <f t="shared" si="38"/>
        <v>0</v>
      </c>
    </row>
    <row r="140" spans="2:16">
      <c r="B140" s="9" t="str">
        <f t="shared" si="39"/>
        <v/>
      </c>
      <c r="C140" s="157">
        <f>IF(D93="","-",+C139+1)</f>
        <v>2052</v>
      </c>
      <c r="D140" s="158">
        <f>IF(F139+SUM(E$99:E139)=D$92,F139,D$92-SUM(E$99:E139))</f>
        <v>179966.61999999988</v>
      </c>
      <c r="E140" s="165">
        <f t="shared" si="30"/>
        <v>30524</v>
      </c>
      <c r="F140" s="163">
        <f t="shared" si="31"/>
        <v>149442.61999999988</v>
      </c>
      <c r="G140" s="163">
        <f t="shared" si="32"/>
        <v>164704.61999999988</v>
      </c>
      <c r="H140" s="167">
        <f t="shared" si="33"/>
        <v>51417.196349846861</v>
      </c>
      <c r="I140" s="317">
        <f t="shared" si="34"/>
        <v>51417.196349846861</v>
      </c>
      <c r="J140" s="162">
        <f t="shared" si="35"/>
        <v>0</v>
      </c>
      <c r="K140" s="162"/>
      <c r="L140" s="335"/>
      <c r="M140" s="162">
        <f t="shared" si="36"/>
        <v>0</v>
      </c>
      <c r="N140" s="335"/>
      <c r="O140" s="162">
        <f t="shared" si="37"/>
        <v>0</v>
      </c>
      <c r="P140" s="162">
        <f t="shared" si="38"/>
        <v>0</v>
      </c>
    </row>
    <row r="141" spans="2:16">
      <c r="B141" s="9" t="str">
        <f t="shared" si="39"/>
        <v/>
      </c>
      <c r="C141" s="157">
        <f>IF(D93="","-",+C140+1)</f>
        <v>2053</v>
      </c>
      <c r="D141" s="158">
        <f>IF(F140+SUM(E$99:E140)=D$92,F140,D$92-SUM(E$99:E140))</f>
        <v>149442.61999999988</v>
      </c>
      <c r="E141" s="165">
        <f t="shared" si="30"/>
        <v>30524</v>
      </c>
      <c r="F141" s="163">
        <f t="shared" si="31"/>
        <v>118918.61999999988</v>
      </c>
      <c r="G141" s="163">
        <f t="shared" si="32"/>
        <v>134180.61999999988</v>
      </c>
      <c r="H141" s="167">
        <f t="shared" si="33"/>
        <v>47545.149983553521</v>
      </c>
      <c r="I141" s="317">
        <f t="shared" si="34"/>
        <v>47545.149983553521</v>
      </c>
      <c r="J141" s="162">
        <f t="shared" si="35"/>
        <v>0</v>
      </c>
      <c r="K141" s="162"/>
      <c r="L141" s="335"/>
      <c r="M141" s="162">
        <f t="shared" si="36"/>
        <v>0</v>
      </c>
      <c r="N141" s="335"/>
      <c r="O141" s="162">
        <f t="shared" si="37"/>
        <v>0</v>
      </c>
      <c r="P141" s="162">
        <f t="shared" si="38"/>
        <v>0</v>
      </c>
    </row>
    <row r="142" spans="2:16">
      <c r="B142" s="9" t="str">
        <f t="shared" si="39"/>
        <v/>
      </c>
      <c r="C142" s="157">
        <f>IF(D93="","-",+C141+1)</f>
        <v>2054</v>
      </c>
      <c r="D142" s="158">
        <f>IF(F141+SUM(E$99:E141)=D$92,F141,D$92-SUM(E$99:E141))</f>
        <v>118918.61999999988</v>
      </c>
      <c r="E142" s="165">
        <f t="shared" si="30"/>
        <v>30524</v>
      </c>
      <c r="F142" s="163">
        <f t="shared" si="31"/>
        <v>88394.619999999879</v>
      </c>
      <c r="G142" s="163">
        <f t="shared" si="32"/>
        <v>103656.61999999988</v>
      </c>
      <c r="H142" s="167">
        <f t="shared" si="33"/>
        <v>43673.103617260174</v>
      </c>
      <c r="I142" s="317">
        <f t="shared" si="34"/>
        <v>43673.103617260174</v>
      </c>
      <c r="J142" s="162">
        <f t="shared" si="35"/>
        <v>0</v>
      </c>
      <c r="K142" s="162"/>
      <c r="L142" s="335"/>
      <c r="M142" s="162">
        <f t="shared" si="36"/>
        <v>0</v>
      </c>
      <c r="N142" s="335"/>
      <c r="O142" s="162">
        <f t="shared" si="37"/>
        <v>0</v>
      </c>
      <c r="P142" s="162">
        <f t="shared" si="38"/>
        <v>0</v>
      </c>
    </row>
    <row r="143" spans="2:16">
      <c r="B143" s="9" t="str">
        <f t="shared" si="39"/>
        <v/>
      </c>
      <c r="C143" s="157">
        <f>IF(D93="","-",+C142+1)</f>
        <v>2055</v>
      </c>
      <c r="D143" s="158">
        <f>IF(F142+SUM(E$99:E142)=D$92,F142,D$92-SUM(E$99:E142))</f>
        <v>88394.619999999879</v>
      </c>
      <c r="E143" s="165">
        <f t="shared" si="30"/>
        <v>30524</v>
      </c>
      <c r="F143" s="163">
        <f t="shared" si="31"/>
        <v>57870.619999999879</v>
      </c>
      <c r="G143" s="163">
        <f t="shared" si="32"/>
        <v>73132.619999999879</v>
      </c>
      <c r="H143" s="167">
        <f t="shared" si="33"/>
        <v>39801.057250966827</v>
      </c>
      <c r="I143" s="317">
        <f t="shared" si="34"/>
        <v>39801.057250966827</v>
      </c>
      <c r="J143" s="162">
        <f t="shared" si="35"/>
        <v>0</v>
      </c>
      <c r="K143" s="162"/>
      <c r="L143" s="335"/>
      <c r="M143" s="162">
        <f t="shared" si="36"/>
        <v>0</v>
      </c>
      <c r="N143" s="335"/>
      <c r="O143" s="162">
        <f t="shared" si="37"/>
        <v>0</v>
      </c>
      <c r="P143" s="162">
        <f t="shared" si="38"/>
        <v>0</v>
      </c>
    </row>
    <row r="144" spans="2:16">
      <c r="B144" s="9" t="str">
        <f t="shared" si="39"/>
        <v/>
      </c>
      <c r="C144" s="157">
        <f>IF(D93="","-",+C143+1)</f>
        <v>2056</v>
      </c>
      <c r="D144" s="158">
        <f>IF(F143+SUM(E$99:E143)=D$92,F143,D$92-SUM(E$99:E143))</f>
        <v>57870.619999999879</v>
      </c>
      <c r="E144" s="165">
        <f t="shared" si="30"/>
        <v>30524</v>
      </c>
      <c r="F144" s="163">
        <f t="shared" si="31"/>
        <v>27346.619999999879</v>
      </c>
      <c r="G144" s="163">
        <f t="shared" si="32"/>
        <v>42608.619999999879</v>
      </c>
      <c r="H144" s="167">
        <f t="shared" si="33"/>
        <v>35929.010884673487</v>
      </c>
      <c r="I144" s="317">
        <f t="shared" si="34"/>
        <v>35929.010884673487</v>
      </c>
      <c r="J144" s="162">
        <f t="shared" si="35"/>
        <v>0</v>
      </c>
      <c r="K144" s="162"/>
      <c r="L144" s="335"/>
      <c r="M144" s="162">
        <f t="shared" si="36"/>
        <v>0</v>
      </c>
      <c r="N144" s="335"/>
      <c r="O144" s="162">
        <f t="shared" si="37"/>
        <v>0</v>
      </c>
      <c r="P144" s="162">
        <f t="shared" si="38"/>
        <v>0</v>
      </c>
    </row>
    <row r="145" spans="2:16">
      <c r="B145" s="9" t="str">
        <f t="shared" si="39"/>
        <v/>
      </c>
      <c r="C145" s="157">
        <f>IF(D93="","-",+C144+1)</f>
        <v>2057</v>
      </c>
      <c r="D145" s="158">
        <f>IF(F144+SUM(E$99:E144)=D$92,F144,D$92-SUM(E$99:E144))</f>
        <v>27346.619999999879</v>
      </c>
      <c r="E145" s="165">
        <f t="shared" si="30"/>
        <v>27346.619999999879</v>
      </c>
      <c r="F145" s="163">
        <f t="shared" si="31"/>
        <v>0</v>
      </c>
      <c r="G145" s="163">
        <f t="shared" si="32"/>
        <v>13673.309999999939</v>
      </c>
      <c r="H145" s="167">
        <f t="shared" si="33"/>
        <v>29081.113850763286</v>
      </c>
      <c r="I145" s="317">
        <f t="shared" si="34"/>
        <v>29081.113850763286</v>
      </c>
      <c r="J145" s="162">
        <f t="shared" si="35"/>
        <v>0</v>
      </c>
      <c r="K145" s="162"/>
      <c r="L145" s="335"/>
      <c r="M145" s="162">
        <f t="shared" si="36"/>
        <v>0</v>
      </c>
      <c r="N145" s="335"/>
      <c r="O145" s="162">
        <f t="shared" si="37"/>
        <v>0</v>
      </c>
      <c r="P145" s="162">
        <f t="shared" si="38"/>
        <v>0</v>
      </c>
    </row>
    <row r="146" spans="2:16">
      <c r="B146" s="9" t="str">
        <f t="shared" si="39"/>
        <v/>
      </c>
      <c r="C146" s="157">
        <f>IF(D93="","-",+C145+1)</f>
        <v>2058</v>
      </c>
      <c r="D146" s="158">
        <f>IF(F145+SUM(E$99:E145)=D$92,F145,D$92-SUM(E$99:E145))</f>
        <v>0</v>
      </c>
      <c r="E146" s="165">
        <f t="shared" si="30"/>
        <v>0</v>
      </c>
      <c r="F146" s="163">
        <f t="shared" si="31"/>
        <v>0</v>
      </c>
      <c r="G146" s="163">
        <f t="shared" si="32"/>
        <v>0</v>
      </c>
      <c r="H146" s="167">
        <f t="shared" si="33"/>
        <v>0</v>
      </c>
      <c r="I146" s="317">
        <f t="shared" si="34"/>
        <v>0</v>
      </c>
      <c r="J146" s="162">
        <f t="shared" si="35"/>
        <v>0</v>
      </c>
      <c r="K146" s="162"/>
      <c r="L146" s="335"/>
      <c r="M146" s="162">
        <f t="shared" si="36"/>
        <v>0</v>
      </c>
      <c r="N146" s="335"/>
      <c r="O146" s="162">
        <f t="shared" si="37"/>
        <v>0</v>
      </c>
      <c r="P146" s="162">
        <f t="shared" si="38"/>
        <v>0</v>
      </c>
    </row>
    <row r="147" spans="2:16">
      <c r="B147" s="9" t="str">
        <f t="shared" si="39"/>
        <v/>
      </c>
      <c r="C147" s="157">
        <f>IF(D93="","-",+C146+1)</f>
        <v>2059</v>
      </c>
      <c r="D147" s="158">
        <f>IF(F146+SUM(E$99:E146)=D$92,F146,D$92-SUM(E$99:E146))</f>
        <v>0</v>
      </c>
      <c r="E147" s="165">
        <f t="shared" si="30"/>
        <v>0</v>
      </c>
      <c r="F147" s="163">
        <f t="shared" si="31"/>
        <v>0</v>
      </c>
      <c r="G147" s="163">
        <f t="shared" si="32"/>
        <v>0</v>
      </c>
      <c r="H147" s="167">
        <f t="shared" si="33"/>
        <v>0</v>
      </c>
      <c r="I147" s="317">
        <f t="shared" si="34"/>
        <v>0</v>
      </c>
      <c r="J147" s="162">
        <f t="shared" si="35"/>
        <v>0</v>
      </c>
      <c r="K147" s="162"/>
      <c r="L147" s="335"/>
      <c r="M147" s="162">
        <f t="shared" si="36"/>
        <v>0</v>
      </c>
      <c r="N147" s="335"/>
      <c r="O147" s="162">
        <f t="shared" si="37"/>
        <v>0</v>
      </c>
      <c r="P147" s="162">
        <f t="shared" si="38"/>
        <v>0</v>
      </c>
    </row>
    <row r="148" spans="2:16">
      <c r="B148" s="9" t="str">
        <f t="shared" si="39"/>
        <v/>
      </c>
      <c r="C148" s="157">
        <f>IF(D93="","-",+C147+1)</f>
        <v>2060</v>
      </c>
      <c r="D148" s="158">
        <f>IF(F147+SUM(E$99:E147)=D$92,F147,D$92-SUM(E$99:E147))</f>
        <v>0</v>
      </c>
      <c r="E148" s="165">
        <f t="shared" si="30"/>
        <v>0</v>
      </c>
      <c r="F148" s="163">
        <f t="shared" si="31"/>
        <v>0</v>
      </c>
      <c r="G148" s="163">
        <f t="shared" si="32"/>
        <v>0</v>
      </c>
      <c r="H148" s="167">
        <f t="shared" si="33"/>
        <v>0</v>
      </c>
      <c r="I148" s="317">
        <f t="shared" si="34"/>
        <v>0</v>
      </c>
      <c r="J148" s="162">
        <f t="shared" si="35"/>
        <v>0</v>
      </c>
      <c r="K148" s="162"/>
      <c r="L148" s="335"/>
      <c r="M148" s="162">
        <f t="shared" si="36"/>
        <v>0</v>
      </c>
      <c r="N148" s="335"/>
      <c r="O148" s="162">
        <f t="shared" si="37"/>
        <v>0</v>
      </c>
      <c r="P148" s="162">
        <f t="shared" si="38"/>
        <v>0</v>
      </c>
    </row>
    <row r="149" spans="2:16">
      <c r="B149" s="9" t="str">
        <f t="shared" si="39"/>
        <v/>
      </c>
      <c r="C149" s="157">
        <f>IF(D93="","-",+C148+1)</f>
        <v>2061</v>
      </c>
      <c r="D149" s="158">
        <f>IF(F148+SUM(E$99:E148)=D$92,F148,D$92-SUM(E$99:E148))</f>
        <v>0</v>
      </c>
      <c r="E149" s="165">
        <f t="shared" si="30"/>
        <v>0</v>
      </c>
      <c r="F149" s="163">
        <f t="shared" si="31"/>
        <v>0</v>
      </c>
      <c r="G149" s="163">
        <f t="shared" si="32"/>
        <v>0</v>
      </c>
      <c r="H149" s="167">
        <f t="shared" si="33"/>
        <v>0</v>
      </c>
      <c r="I149" s="317">
        <f t="shared" si="34"/>
        <v>0</v>
      </c>
      <c r="J149" s="162">
        <f t="shared" si="35"/>
        <v>0</v>
      </c>
      <c r="K149" s="162"/>
      <c r="L149" s="335"/>
      <c r="M149" s="162">
        <f t="shared" si="36"/>
        <v>0</v>
      </c>
      <c r="N149" s="335"/>
      <c r="O149" s="162">
        <f t="shared" si="37"/>
        <v>0</v>
      </c>
      <c r="P149" s="162">
        <f t="shared" si="38"/>
        <v>0</v>
      </c>
    </row>
    <row r="150" spans="2:16">
      <c r="B150" s="9" t="str">
        <f t="shared" si="39"/>
        <v/>
      </c>
      <c r="C150" s="157">
        <f>IF(D93="","-",+C149+1)</f>
        <v>2062</v>
      </c>
      <c r="D150" s="158">
        <f>IF(F149+SUM(E$99:E149)=D$92,F149,D$92-SUM(E$99:E149))</f>
        <v>0</v>
      </c>
      <c r="E150" s="165">
        <f t="shared" si="30"/>
        <v>0</v>
      </c>
      <c r="F150" s="163">
        <f t="shared" si="31"/>
        <v>0</v>
      </c>
      <c r="G150" s="163">
        <f t="shared" si="32"/>
        <v>0</v>
      </c>
      <c r="H150" s="167">
        <f t="shared" si="33"/>
        <v>0</v>
      </c>
      <c r="I150" s="317">
        <f t="shared" si="34"/>
        <v>0</v>
      </c>
      <c r="J150" s="162">
        <f t="shared" si="35"/>
        <v>0</v>
      </c>
      <c r="K150" s="162"/>
      <c r="L150" s="335"/>
      <c r="M150" s="162">
        <f t="shared" si="36"/>
        <v>0</v>
      </c>
      <c r="N150" s="335"/>
      <c r="O150" s="162">
        <f t="shared" si="37"/>
        <v>0</v>
      </c>
      <c r="P150" s="162">
        <f t="shared" si="38"/>
        <v>0</v>
      </c>
    </row>
    <row r="151" spans="2:16">
      <c r="B151" s="9" t="str">
        <f t="shared" si="39"/>
        <v/>
      </c>
      <c r="C151" s="157">
        <f>IF(D93="","-",+C150+1)</f>
        <v>2063</v>
      </c>
      <c r="D151" s="158">
        <f>IF(F150+SUM(E$99:E150)=D$92,F150,D$92-SUM(E$99:E150))</f>
        <v>0</v>
      </c>
      <c r="E151" s="165">
        <f t="shared" si="30"/>
        <v>0</v>
      </c>
      <c r="F151" s="163">
        <f t="shared" si="31"/>
        <v>0</v>
      </c>
      <c r="G151" s="163">
        <f t="shared" si="32"/>
        <v>0</v>
      </c>
      <c r="H151" s="167">
        <f t="shared" si="33"/>
        <v>0</v>
      </c>
      <c r="I151" s="317">
        <f t="shared" si="34"/>
        <v>0</v>
      </c>
      <c r="J151" s="162">
        <f t="shared" si="35"/>
        <v>0</v>
      </c>
      <c r="K151" s="162"/>
      <c r="L151" s="335"/>
      <c r="M151" s="162">
        <f t="shared" si="36"/>
        <v>0</v>
      </c>
      <c r="N151" s="335"/>
      <c r="O151" s="162">
        <f t="shared" si="37"/>
        <v>0</v>
      </c>
      <c r="P151" s="162">
        <f t="shared" si="38"/>
        <v>0</v>
      </c>
    </row>
    <row r="152" spans="2:16">
      <c r="B152" s="9" t="str">
        <f t="shared" si="39"/>
        <v/>
      </c>
      <c r="C152" s="157">
        <f>IF(D93="","-",+C151+1)</f>
        <v>2064</v>
      </c>
      <c r="D152" s="158">
        <f>IF(F151+SUM(E$99:E151)=D$92,F151,D$92-SUM(E$99:E151))</f>
        <v>0</v>
      </c>
      <c r="E152" s="165">
        <f t="shared" si="30"/>
        <v>0</v>
      </c>
      <c r="F152" s="163">
        <f t="shared" si="31"/>
        <v>0</v>
      </c>
      <c r="G152" s="163">
        <f t="shared" si="32"/>
        <v>0</v>
      </c>
      <c r="H152" s="167">
        <f t="shared" si="33"/>
        <v>0</v>
      </c>
      <c r="I152" s="317">
        <f t="shared" si="34"/>
        <v>0</v>
      </c>
      <c r="J152" s="162">
        <f t="shared" si="35"/>
        <v>0</v>
      </c>
      <c r="K152" s="162"/>
      <c r="L152" s="335"/>
      <c r="M152" s="162">
        <f t="shared" si="36"/>
        <v>0</v>
      </c>
      <c r="N152" s="335"/>
      <c r="O152" s="162">
        <f t="shared" si="37"/>
        <v>0</v>
      </c>
      <c r="P152" s="162">
        <f t="shared" si="38"/>
        <v>0</v>
      </c>
    </row>
    <row r="153" spans="2:16">
      <c r="B153" s="9" t="str">
        <f t="shared" si="39"/>
        <v/>
      </c>
      <c r="C153" s="157">
        <f>IF(D93="","-",+C152+1)</f>
        <v>2065</v>
      </c>
      <c r="D153" s="158">
        <f>IF(F152+SUM(E$99:E152)=D$92,F152,D$92-SUM(E$99:E152))</f>
        <v>0</v>
      </c>
      <c r="E153" s="165">
        <f t="shared" si="30"/>
        <v>0</v>
      </c>
      <c r="F153" s="163">
        <f t="shared" si="31"/>
        <v>0</v>
      </c>
      <c r="G153" s="163">
        <f t="shared" si="32"/>
        <v>0</v>
      </c>
      <c r="H153" s="167">
        <f t="shared" si="33"/>
        <v>0</v>
      </c>
      <c r="I153" s="317">
        <f t="shared" si="34"/>
        <v>0</v>
      </c>
      <c r="J153" s="162">
        <f t="shared" si="35"/>
        <v>0</v>
      </c>
      <c r="K153" s="162"/>
      <c r="L153" s="335"/>
      <c r="M153" s="162">
        <f t="shared" si="36"/>
        <v>0</v>
      </c>
      <c r="N153" s="335"/>
      <c r="O153" s="162">
        <f t="shared" si="37"/>
        <v>0</v>
      </c>
      <c r="P153" s="162">
        <f t="shared" si="38"/>
        <v>0</v>
      </c>
    </row>
    <row r="154" spans="2:16" ht="13.5" thickBot="1">
      <c r="B154" s="9" t="str">
        <f t="shared" si="39"/>
        <v/>
      </c>
      <c r="C154" s="168">
        <f>IF(D93="","-",+C153+1)</f>
        <v>2066</v>
      </c>
      <c r="D154" s="388">
        <f>IF(F153+SUM(E$99:E153)=D$92,F153,D$92-SUM(E$99:E153))</f>
        <v>0</v>
      </c>
      <c r="E154" s="377">
        <f t="shared" si="30"/>
        <v>0</v>
      </c>
      <c r="F154" s="169">
        <f t="shared" si="31"/>
        <v>0</v>
      </c>
      <c r="G154" s="169">
        <f t="shared" si="32"/>
        <v>0</v>
      </c>
      <c r="H154" s="171">
        <f t="shared" si="33"/>
        <v>0</v>
      </c>
      <c r="I154" s="318">
        <f t="shared" si="34"/>
        <v>0</v>
      </c>
      <c r="J154" s="173">
        <f t="shared" si="35"/>
        <v>0</v>
      </c>
      <c r="K154" s="162"/>
      <c r="L154" s="336"/>
      <c r="M154" s="173">
        <f t="shared" si="36"/>
        <v>0</v>
      </c>
      <c r="N154" s="336"/>
      <c r="O154" s="173">
        <f t="shared" si="37"/>
        <v>0</v>
      </c>
      <c r="P154" s="173">
        <f t="shared" si="38"/>
        <v>0</v>
      </c>
    </row>
    <row r="155" spans="2:16">
      <c r="C155" s="158" t="s">
        <v>72</v>
      </c>
      <c r="D155" s="115"/>
      <c r="E155" s="115">
        <f>SUM(E99:E154)</f>
        <v>1404099.6199999999</v>
      </c>
      <c r="F155" s="115"/>
      <c r="G155" s="115"/>
      <c r="H155" s="115">
        <f>SUM(H99:H154)</f>
        <v>5684059.7040930735</v>
      </c>
      <c r="I155" s="115">
        <f>SUM(I99:I154)</f>
        <v>5684059.7040930735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38" priority="1" stopIfTrue="1" operator="equal">
      <formula>$I$10</formula>
    </cfRule>
  </conditionalFormatting>
  <conditionalFormatting sqref="C99:C154">
    <cfRule type="cellIs" dxfId="37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P162"/>
  <sheetViews>
    <sheetView view="pageBreakPreview" zoomScale="75" zoomScaleNormal="10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8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12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413696.38401730731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413696.38401730731</v>
      </c>
      <c r="O6" s="1"/>
      <c r="P6" s="1"/>
    </row>
    <row r="7" spans="1:16" ht="13.5" thickBot="1">
      <c r="C7" s="127" t="s">
        <v>41</v>
      </c>
      <c r="D7" s="343" t="s">
        <v>227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226</v>
      </c>
      <c r="E9" s="428" t="s">
        <v>312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3305767.14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2012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10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82644.178500000009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2012</v>
      </c>
      <c r="D17" s="366">
        <v>1132400</v>
      </c>
      <c r="E17" s="367">
        <v>3629.4871794871797</v>
      </c>
      <c r="F17" s="366">
        <v>1128770.5128205128</v>
      </c>
      <c r="G17" s="367">
        <v>160761.94360740471</v>
      </c>
      <c r="H17" s="370">
        <v>160761.94360740471</v>
      </c>
      <c r="I17" s="160">
        <f t="shared" ref="I17:I48" si="0">H17-G17</f>
        <v>0</v>
      </c>
      <c r="J17" s="160"/>
      <c r="K17" s="337">
        <f t="shared" ref="K17:K22" si="1">G17</f>
        <v>160761.94360740471</v>
      </c>
      <c r="L17" s="176">
        <f t="shared" ref="L17:L48" si="2">IF(K17&lt;&gt;0,+G17-K17,0)</f>
        <v>0</v>
      </c>
      <c r="M17" s="337">
        <f t="shared" ref="M17:M22" si="3">H17</f>
        <v>160761.94360740471</v>
      </c>
      <c r="N17" s="358">
        <f t="shared" ref="N17:N48" si="4">IF(M17&lt;&gt;0,+H17-M17,0)</f>
        <v>0</v>
      </c>
      <c r="O17" s="162">
        <f t="shared" ref="O17:O48" si="5">+N17-L17</f>
        <v>0</v>
      </c>
      <c r="P17" s="4"/>
    </row>
    <row r="18" spans="2:16">
      <c r="B18" s="9" t="str">
        <f t="shared" ref="B18:B49" si="6">IF(D18=F17,"","IU")</f>
        <v>IU</v>
      </c>
      <c r="C18" s="157">
        <f>IF(D11="","-",+C17+1)</f>
        <v>2013</v>
      </c>
      <c r="D18" s="366">
        <v>2746405</v>
      </c>
      <c r="E18" s="368">
        <v>52885</v>
      </c>
      <c r="F18" s="366">
        <v>2693519</v>
      </c>
      <c r="G18" s="368">
        <v>437538</v>
      </c>
      <c r="H18" s="370">
        <v>437538</v>
      </c>
      <c r="I18" s="160">
        <f t="shared" si="0"/>
        <v>0</v>
      </c>
      <c r="J18" s="160"/>
      <c r="K18" s="338">
        <f t="shared" si="1"/>
        <v>437538</v>
      </c>
      <c r="L18" s="272">
        <f t="shared" ref="L18:L23" si="7">IF(K18&lt;&gt;0,+G18-K18,0)</f>
        <v>0</v>
      </c>
      <c r="M18" s="338">
        <f t="shared" si="3"/>
        <v>437538</v>
      </c>
      <c r="N18" s="162">
        <f t="shared" ref="N18:N23" si="8">IF(M18&lt;&gt;0,+H18-M18,0)</f>
        <v>0</v>
      </c>
      <c r="O18" s="162">
        <f t="shared" ref="O18:O23" si="9">+N18-L18</f>
        <v>0</v>
      </c>
      <c r="P18" s="4"/>
    </row>
    <row r="19" spans="2:16">
      <c r="B19" s="9" t="str">
        <f t="shared" si="6"/>
        <v>IU</v>
      </c>
      <c r="C19" s="157">
        <f>IF(D11="","-",+C18+1)</f>
        <v>2014</v>
      </c>
      <c r="D19" s="366">
        <v>3185619.512820513</v>
      </c>
      <c r="E19" s="368">
        <v>62348.730769230766</v>
      </c>
      <c r="F19" s="366">
        <v>3123270.782051282</v>
      </c>
      <c r="G19" s="368">
        <v>492294.73076923075</v>
      </c>
      <c r="H19" s="370">
        <v>492294.73076923075</v>
      </c>
      <c r="I19" s="160">
        <v>0</v>
      </c>
      <c r="J19" s="160"/>
      <c r="K19" s="338">
        <f t="shared" si="1"/>
        <v>492294.73076923075</v>
      </c>
      <c r="L19" s="272">
        <f t="shared" si="7"/>
        <v>0</v>
      </c>
      <c r="M19" s="338">
        <f t="shared" si="3"/>
        <v>492294.73076923075</v>
      </c>
      <c r="N19" s="162">
        <f t="shared" si="8"/>
        <v>0</v>
      </c>
      <c r="O19" s="162">
        <f t="shared" si="9"/>
        <v>0</v>
      </c>
      <c r="P19" s="4"/>
    </row>
    <row r="20" spans="2:16">
      <c r="B20" s="9" t="str">
        <f t="shared" si="6"/>
        <v>IU</v>
      </c>
      <c r="C20" s="157">
        <f>IF(D11="","-",+C19+1)</f>
        <v>2015</v>
      </c>
      <c r="D20" s="366">
        <v>3186903.9220512821</v>
      </c>
      <c r="E20" s="368">
        <v>63572.445</v>
      </c>
      <c r="F20" s="366">
        <v>3123331.4770512823</v>
      </c>
      <c r="G20" s="368">
        <v>494191.44500000001</v>
      </c>
      <c r="H20" s="370">
        <v>494191.44500000001</v>
      </c>
      <c r="I20" s="160">
        <v>0</v>
      </c>
      <c r="J20" s="160"/>
      <c r="K20" s="338">
        <f t="shared" si="1"/>
        <v>494191.44500000001</v>
      </c>
      <c r="L20" s="272">
        <f t="shared" si="7"/>
        <v>0</v>
      </c>
      <c r="M20" s="338">
        <f t="shared" si="3"/>
        <v>494191.44500000001</v>
      </c>
      <c r="N20" s="162">
        <f t="shared" si="8"/>
        <v>0</v>
      </c>
      <c r="O20" s="162">
        <f t="shared" si="9"/>
        <v>0</v>
      </c>
      <c r="P20" s="4"/>
    </row>
    <row r="21" spans="2:16">
      <c r="B21" s="9" t="str">
        <f t="shared" si="6"/>
        <v/>
      </c>
      <c r="C21" s="157">
        <f>IF(D11="","-",+C20+1)</f>
        <v>2016</v>
      </c>
      <c r="D21" s="366">
        <v>3123331.4770512823</v>
      </c>
      <c r="E21" s="368">
        <v>63572.445</v>
      </c>
      <c r="F21" s="366">
        <v>3059759.0320512825</v>
      </c>
      <c r="G21" s="368">
        <v>464889.44500000001</v>
      </c>
      <c r="H21" s="370">
        <v>464889.44500000001</v>
      </c>
      <c r="I21" s="160">
        <f t="shared" si="0"/>
        <v>0</v>
      </c>
      <c r="J21" s="160"/>
      <c r="K21" s="338">
        <f t="shared" si="1"/>
        <v>464889.44500000001</v>
      </c>
      <c r="L21" s="272">
        <f t="shared" si="7"/>
        <v>0</v>
      </c>
      <c r="M21" s="338">
        <f t="shared" si="3"/>
        <v>464889.44500000001</v>
      </c>
      <c r="N21" s="162">
        <f t="shared" si="8"/>
        <v>0</v>
      </c>
      <c r="O21" s="162">
        <f t="shared" si="9"/>
        <v>0</v>
      </c>
      <c r="P21" s="4"/>
    </row>
    <row r="22" spans="2:16">
      <c r="B22" s="9" t="str">
        <f t="shared" si="6"/>
        <v/>
      </c>
      <c r="C22" s="157">
        <f>IF(D11="","-",+C21+1)</f>
        <v>2017</v>
      </c>
      <c r="D22" s="366">
        <v>3059759.0320512825</v>
      </c>
      <c r="E22" s="368">
        <v>71864.503043478268</v>
      </c>
      <c r="F22" s="366">
        <v>2987894.5290078041</v>
      </c>
      <c r="G22" s="368">
        <v>452105.50304347824</v>
      </c>
      <c r="H22" s="370">
        <v>452105.50304347824</v>
      </c>
      <c r="I22" s="160">
        <v>0</v>
      </c>
      <c r="J22" s="160"/>
      <c r="K22" s="338">
        <f t="shared" si="1"/>
        <v>452105.50304347824</v>
      </c>
      <c r="L22" s="272">
        <f t="shared" si="7"/>
        <v>0</v>
      </c>
      <c r="M22" s="338">
        <f t="shared" si="3"/>
        <v>452105.50304347824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2018</v>
      </c>
      <c r="D23" s="366">
        <v>2987894.5290078041</v>
      </c>
      <c r="E23" s="368">
        <v>73461.491999999998</v>
      </c>
      <c r="F23" s="366">
        <v>2914433.037007804</v>
      </c>
      <c r="G23" s="368">
        <v>426889.74050815182</v>
      </c>
      <c r="H23" s="370">
        <v>426889.74050815182</v>
      </c>
      <c r="I23" s="160">
        <f t="shared" si="0"/>
        <v>0</v>
      </c>
      <c r="J23" s="160"/>
      <c r="K23" s="338">
        <f>G23</f>
        <v>426889.74050815182</v>
      </c>
      <c r="L23" s="272">
        <f t="shared" si="7"/>
        <v>0</v>
      </c>
      <c r="M23" s="338">
        <f>H23</f>
        <v>426889.74050815182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2019</v>
      </c>
      <c r="D24" s="163">
        <f>IF(F23+SUM(E$17:E23)=D$10,F23,D$10-SUM(E$17:E23))</f>
        <v>2914433.037007804</v>
      </c>
      <c r="E24" s="164">
        <f>IF(+I14&lt;F23,I14,D24)</f>
        <v>82644.178500000009</v>
      </c>
      <c r="F24" s="163">
        <f t="shared" ref="F24:F48" si="10">+D24-E24</f>
        <v>2831788.8585078041</v>
      </c>
      <c r="G24" s="165">
        <f t="shared" ref="G24:G72" si="11">(D24+F24)/2*I$12+E24</f>
        <v>413696.38401730731</v>
      </c>
      <c r="H24" s="147">
        <f t="shared" ref="H24:H72" si="12">+(D24+F24)/2*I$13+E24</f>
        <v>413696.38401730731</v>
      </c>
      <c r="I24" s="160">
        <f t="shared" si="0"/>
        <v>0</v>
      </c>
      <c r="J24" s="160"/>
      <c r="K24" s="335"/>
      <c r="L24" s="162">
        <f t="shared" si="2"/>
        <v>0</v>
      </c>
      <c r="M24" s="335"/>
      <c r="N24" s="162">
        <f t="shared" si="4"/>
        <v>0</v>
      </c>
      <c r="O24" s="162">
        <f t="shared" si="5"/>
        <v>0</v>
      </c>
      <c r="P24" s="4"/>
    </row>
    <row r="25" spans="2:16">
      <c r="B25" s="9" t="str">
        <f t="shared" si="6"/>
        <v/>
      </c>
      <c r="C25" s="157">
        <f>IF(D11="","-",+C24+1)</f>
        <v>2020</v>
      </c>
      <c r="D25" s="163">
        <f>IF(F24+SUM(E$17:E24)=D$10,F24,D$10-SUM(E$17:E24))</f>
        <v>2831788.8585078041</v>
      </c>
      <c r="E25" s="164">
        <f>IF(+I14&lt;F24,I14,D25)</f>
        <v>82644.178500000009</v>
      </c>
      <c r="F25" s="163">
        <f t="shared" si="10"/>
        <v>2749144.6800078042</v>
      </c>
      <c r="G25" s="165">
        <f t="shared" si="11"/>
        <v>404173.76617794321</v>
      </c>
      <c r="H25" s="147">
        <f t="shared" si="12"/>
        <v>404173.76617794321</v>
      </c>
      <c r="I25" s="160">
        <f t="shared" si="0"/>
        <v>0</v>
      </c>
      <c r="J25" s="160"/>
      <c r="K25" s="335"/>
      <c r="L25" s="162">
        <f t="shared" si="2"/>
        <v>0</v>
      </c>
      <c r="M25" s="335"/>
      <c r="N25" s="162">
        <f t="shared" si="4"/>
        <v>0</v>
      </c>
      <c r="O25" s="162">
        <f t="shared" si="5"/>
        <v>0</v>
      </c>
      <c r="P25" s="4"/>
    </row>
    <row r="26" spans="2:16">
      <c r="B26" s="9" t="str">
        <f t="shared" si="6"/>
        <v/>
      </c>
      <c r="C26" s="157">
        <f>IF(D11="","-",+C25+1)</f>
        <v>2021</v>
      </c>
      <c r="D26" s="163">
        <f>IF(F25+SUM(E$17:E25)=D$10,F25,D$10-SUM(E$17:E25))</f>
        <v>2749144.6800078042</v>
      </c>
      <c r="E26" s="164">
        <f>IF(+I14&lt;F25,I14,D26)</f>
        <v>82644.178500000009</v>
      </c>
      <c r="F26" s="163">
        <f t="shared" si="10"/>
        <v>2666500.5015078043</v>
      </c>
      <c r="G26" s="165">
        <f t="shared" si="11"/>
        <v>394651.14833857899</v>
      </c>
      <c r="H26" s="147">
        <f t="shared" si="12"/>
        <v>394651.14833857899</v>
      </c>
      <c r="I26" s="160">
        <f t="shared" si="0"/>
        <v>0</v>
      </c>
      <c r="J26" s="160"/>
      <c r="K26" s="335"/>
      <c r="L26" s="162">
        <f t="shared" si="2"/>
        <v>0</v>
      </c>
      <c r="M26" s="335"/>
      <c r="N26" s="162">
        <f t="shared" si="4"/>
        <v>0</v>
      </c>
      <c r="O26" s="162">
        <f t="shared" si="5"/>
        <v>0</v>
      </c>
      <c r="P26" s="4"/>
    </row>
    <row r="27" spans="2:16">
      <c r="B27" s="9" t="str">
        <f t="shared" si="6"/>
        <v/>
      </c>
      <c r="C27" s="157">
        <f>IF(D11="","-",+C26+1)</f>
        <v>2022</v>
      </c>
      <c r="D27" s="166">
        <f>IF(F26+SUM(E$17:E26)=D$10,F26,D$10-SUM(E$17:E26))</f>
        <v>2666500.5015078043</v>
      </c>
      <c r="E27" s="164">
        <f>IF(+I14&lt;F26,I14,D27)</f>
        <v>82644.178500000009</v>
      </c>
      <c r="F27" s="163">
        <f t="shared" si="10"/>
        <v>2583856.3230078043</v>
      </c>
      <c r="G27" s="165">
        <f t="shared" si="11"/>
        <v>385128.53049921489</v>
      </c>
      <c r="H27" s="147">
        <f t="shared" si="12"/>
        <v>385128.53049921489</v>
      </c>
      <c r="I27" s="160">
        <f t="shared" si="0"/>
        <v>0</v>
      </c>
      <c r="J27" s="160"/>
      <c r="K27" s="335"/>
      <c r="L27" s="162">
        <f t="shared" si="2"/>
        <v>0</v>
      </c>
      <c r="M27" s="335"/>
      <c r="N27" s="162">
        <f t="shared" si="4"/>
        <v>0</v>
      </c>
      <c r="O27" s="162">
        <f t="shared" si="5"/>
        <v>0</v>
      </c>
      <c r="P27" s="4"/>
    </row>
    <row r="28" spans="2:16">
      <c r="B28" s="9" t="str">
        <f t="shared" si="6"/>
        <v/>
      </c>
      <c r="C28" s="157">
        <f>IF(D11="","-",+C27+1)</f>
        <v>2023</v>
      </c>
      <c r="D28" s="163">
        <f>IF(F27+SUM(E$17:E27)=D$10,F27,D$10-SUM(E$17:E27))</f>
        <v>2583856.3230078043</v>
      </c>
      <c r="E28" s="164">
        <f>IF(+I14&lt;F27,I14,D28)</f>
        <v>82644.178500000009</v>
      </c>
      <c r="F28" s="163">
        <f t="shared" si="10"/>
        <v>2501212.1445078044</v>
      </c>
      <c r="G28" s="165">
        <f t="shared" si="11"/>
        <v>375605.91265985055</v>
      </c>
      <c r="H28" s="147">
        <f t="shared" si="12"/>
        <v>375605.91265985055</v>
      </c>
      <c r="I28" s="160">
        <f t="shared" si="0"/>
        <v>0</v>
      </c>
      <c r="J28" s="160"/>
      <c r="K28" s="335"/>
      <c r="L28" s="162">
        <f t="shared" si="2"/>
        <v>0</v>
      </c>
      <c r="M28" s="335"/>
      <c r="N28" s="162">
        <f t="shared" si="4"/>
        <v>0</v>
      </c>
      <c r="O28" s="162">
        <f t="shared" si="5"/>
        <v>0</v>
      </c>
      <c r="P28" s="4"/>
    </row>
    <row r="29" spans="2:16">
      <c r="B29" s="9" t="str">
        <f t="shared" si="6"/>
        <v/>
      </c>
      <c r="C29" s="157">
        <f>IF(D11="","-",+C28+1)</f>
        <v>2024</v>
      </c>
      <c r="D29" s="163">
        <f>IF(F28+SUM(E$17:E28)=D$10,F28,D$10-SUM(E$17:E28))</f>
        <v>2501212.1445078044</v>
      </c>
      <c r="E29" s="164">
        <f>IF(+I14&lt;F28,I14,D29)</f>
        <v>82644.178500000009</v>
      </c>
      <c r="F29" s="163">
        <f t="shared" si="10"/>
        <v>2418567.9660078045</v>
      </c>
      <c r="G29" s="165">
        <f t="shared" si="11"/>
        <v>366083.29482048645</v>
      </c>
      <c r="H29" s="147">
        <f t="shared" si="12"/>
        <v>366083.29482048645</v>
      </c>
      <c r="I29" s="160">
        <f t="shared" si="0"/>
        <v>0</v>
      </c>
      <c r="J29" s="160"/>
      <c r="K29" s="335"/>
      <c r="L29" s="162">
        <f t="shared" si="2"/>
        <v>0</v>
      </c>
      <c r="M29" s="335"/>
      <c r="N29" s="162">
        <f t="shared" si="4"/>
        <v>0</v>
      </c>
      <c r="O29" s="162">
        <f t="shared" si="5"/>
        <v>0</v>
      </c>
      <c r="P29" s="4"/>
    </row>
    <row r="30" spans="2:16">
      <c r="B30" s="9" t="str">
        <f t="shared" si="6"/>
        <v/>
      </c>
      <c r="C30" s="157">
        <f>IF(D11="","-",+C29+1)</f>
        <v>2025</v>
      </c>
      <c r="D30" s="163">
        <f>IF(F29+SUM(E$17:E29)=D$10,F29,D$10-SUM(E$17:E29))</f>
        <v>2418567.9660078045</v>
      </c>
      <c r="E30" s="164">
        <f>IF(+I14&lt;F29,I14,D30)</f>
        <v>82644.178500000009</v>
      </c>
      <c r="F30" s="163">
        <f t="shared" si="10"/>
        <v>2335923.7875078046</v>
      </c>
      <c r="G30" s="165">
        <f t="shared" si="11"/>
        <v>356560.67698112223</v>
      </c>
      <c r="H30" s="147">
        <f t="shared" si="12"/>
        <v>356560.67698112223</v>
      </c>
      <c r="I30" s="160">
        <f t="shared" si="0"/>
        <v>0</v>
      </c>
      <c r="J30" s="160"/>
      <c r="K30" s="335"/>
      <c r="L30" s="162">
        <f t="shared" si="2"/>
        <v>0</v>
      </c>
      <c r="M30" s="335"/>
      <c r="N30" s="162">
        <f t="shared" si="4"/>
        <v>0</v>
      </c>
      <c r="O30" s="162">
        <f t="shared" si="5"/>
        <v>0</v>
      </c>
      <c r="P30" s="4"/>
    </row>
    <row r="31" spans="2:16">
      <c r="B31" s="9" t="str">
        <f t="shared" si="6"/>
        <v/>
      </c>
      <c r="C31" s="157">
        <f>IF(D11="","-",+C30+1)</f>
        <v>2026</v>
      </c>
      <c r="D31" s="163">
        <f>IF(F30+SUM(E$17:E30)=D$10,F30,D$10-SUM(E$17:E30))</f>
        <v>2335923.7875078046</v>
      </c>
      <c r="E31" s="164">
        <f>IF(+I14&lt;F30,I14,D31)</f>
        <v>82644.178500000009</v>
      </c>
      <c r="F31" s="163">
        <f t="shared" si="10"/>
        <v>2253279.6090078047</v>
      </c>
      <c r="G31" s="165">
        <f t="shared" si="11"/>
        <v>347038.05914175813</v>
      </c>
      <c r="H31" s="147">
        <f t="shared" si="12"/>
        <v>347038.05914175813</v>
      </c>
      <c r="I31" s="160">
        <f t="shared" si="0"/>
        <v>0</v>
      </c>
      <c r="J31" s="160"/>
      <c r="K31" s="335"/>
      <c r="L31" s="162">
        <f t="shared" si="2"/>
        <v>0</v>
      </c>
      <c r="M31" s="335"/>
      <c r="N31" s="162">
        <f t="shared" si="4"/>
        <v>0</v>
      </c>
      <c r="O31" s="162">
        <f t="shared" si="5"/>
        <v>0</v>
      </c>
      <c r="P31" s="4"/>
    </row>
    <row r="32" spans="2:16">
      <c r="B32" s="9" t="str">
        <f t="shared" si="6"/>
        <v/>
      </c>
      <c r="C32" s="157">
        <f>IF(D11="","-",+C31+1)</f>
        <v>2027</v>
      </c>
      <c r="D32" s="163">
        <f>IF(F31+SUM(E$17:E31)=D$10,F31,D$10-SUM(E$17:E31))</f>
        <v>2253279.6090078047</v>
      </c>
      <c r="E32" s="164">
        <f>IF(+I14&lt;F31,I14,D32)</f>
        <v>82644.178500000009</v>
      </c>
      <c r="F32" s="163">
        <f t="shared" si="10"/>
        <v>2170635.4305078047</v>
      </c>
      <c r="G32" s="165">
        <f t="shared" si="11"/>
        <v>337515.44130239385</v>
      </c>
      <c r="H32" s="147">
        <f t="shared" si="12"/>
        <v>337515.44130239385</v>
      </c>
      <c r="I32" s="160">
        <f t="shared" si="0"/>
        <v>0</v>
      </c>
      <c r="J32" s="160"/>
      <c r="K32" s="335"/>
      <c r="L32" s="162">
        <f t="shared" si="2"/>
        <v>0</v>
      </c>
      <c r="M32" s="335"/>
      <c r="N32" s="162">
        <f t="shared" si="4"/>
        <v>0</v>
      </c>
      <c r="O32" s="162">
        <f t="shared" si="5"/>
        <v>0</v>
      </c>
      <c r="P32" s="4"/>
    </row>
    <row r="33" spans="2:16">
      <c r="B33" s="9" t="str">
        <f t="shared" si="6"/>
        <v/>
      </c>
      <c r="C33" s="157">
        <f>IF(D11="","-",+C32+1)</f>
        <v>2028</v>
      </c>
      <c r="D33" s="163">
        <f>IF(F32+SUM(E$17:E32)=D$10,F32,D$10-SUM(E$17:E32))</f>
        <v>2170635.4305078047</v>
      </c>
      <c r="E33" s="164">
        <f>IF(+I14&lt;F32,I14,D33)</f>
        <v>82644.178500000009</v>
      </c>
      <c r="F33" s="163">
        <f t="shared" si="10"/>
        <v>2087991.2520078048</v>
      </c>
      <c r="G33" s="165">
        <f t="shared" si="11"/>
        <v>327992.82346302969</v>
      </c>
      <c r="H33" s="147">
        <f t="shared" si="12"/>
        <v>327992.82346302969</v>
      </c>
      <c r="I33" s="160">
        <f t="shared" si="0"/>
        <v>0</v>
      </c>
      <c r="J33" s="160"/>
      <c r="K33" s="335"/>
      <c r="L33" s="162">
        <f t="shared" si="2"/>
        <v>0</v>
      </c>
      <c r="M33" s="335"/>
      <c r="N33" s="162">
        <f t="shared" si="4"/>
        <v>0</v>
      </c>
      <c r="O33" s="162">
        <f t="shared" si="5"/>
        <v>0</v>
      </c>
      <c r="P33" s="4"/>
    </row>
    <row r="34" spans="2:16">
      <c r="B34" s="9" t="str">
        <f t="shared" si="6"/>
        <v/>
      </c>
      <c r="C34" s="157">
        <f>IF(D11="","-",+C33+1)</f>
        <v>2029</v>
      </c>
      <c r="D34" s="163">
        <f>IF(F33+SUM(E$17:E33)=D$10,F33,D$10-SUM(E$17:E33))</f>
        <v>2087991.2520078048</v>
      </c>
      <c r="E34" s="164">
        <f>IF(+I14&lt;F33,I14,D34)</f>
        <v>82644.178500000009</v>
      </c>
      <c r="F34" s="163">
        <f t="shared" si="10"/>
        <v>2005347.0735078049</v>
      </c>
      <c r="G34" s="165">
        <f t="shared" si="11"/>
        <v>318470.20562366553</v>
      </c>
      <c r="H34" s="147">
        <f t="shared" si="12"/>
        <v>318470.20562366553</v>
      </c>
      <c r="I34" s="160">
        <f t="shared" si="0"/>
        <v>0</v>
      </c>
      <c r="J34" s="160"/>
      <c r="K34" s="335"/>
      <c r="L34" s="162">
        <f t="shared" si="2"/>
        <v>0</v>
      </c>
      <c r="M34" s="335"/>
      <c r="N34" s="162">
        <f t="shared" si="4"/>
        <v>0</v>
      </c>
      <c r="O34" s="162">
        <f t="shared" si="5"/>
        <v>0</v>
      </c>
      <c r="P34" s="4"/>
    </row>
    <row r="35" spans="2:16">
      <c r="B35" s="9" t="str">
        <f t="shared" si="6"/>
        <v/>
      </c>
      <c r="C35" s="157">
        <f>IF(D11="","-",+C34+1)</f>
        <v>2030</v>
      </c>
      <c r="D35" s="163">
        <f>IF(F34+SUM(E$17:E34)=D$10,F34,D$10-SUM(E$17:E34))</f>
        <v>2005347.0735078049</v>
      </c>
      <c r="E35" s="164">
        <f>IF(+I14&lt;F34,I14,D35)</f>
        <v>82644.178500000009</v>
      </c>
      <c r="F35" s="163">
        <f t="shared" si="10"/>
        <v>1922702.895007805</v>
      </c>
      <c r="G35" s="165">
        <f t="shared" si="11"/>
        <v>308947.58778430137</v>
      </c>
      <c r="H35" s="147">
        <f t="shared" si="12"/>
        <v>308947.58778430137</v>
      </c>
      <c r="I35" s="160">
        <f t="shared" si="0"/>
        <v>0</v>
      </c>
      <c r="J35" s="160"/>
      <c r="K35" s="335"/>
      <c r="L35" s="162">
        <f t="shared" si="2"/>
        <v>0</v>
      </c>
      <c r="M35" s="335"/>
      <c r="N35" s="162">
        <f t="shared" si="4"/>
        <v>0</v>
      </c>
      <c r="O35" s="162">
        <f t="shared" si="5"/>
        <v>0</v>
      </c>
      <c r="P35" s="4"/>
    </row>
    <row r="36" spans="2:16">
      <c r="B36" s="9" t="str">
        <f t="shared" si="6"/>
        <v/>
      </c>
      <c r="C36" s="157">
        <f>IF(D11="","-",+C35+1)</f>
        <v>2031</v>
      </c>
      <c r="D36" s="163">
        <f>IF(F35+SUM(E$17:E35)=D$10,F35,D$10-SUM(E$17:E35))</f>
        <v>1922702.895007805</v>
      </c>
      <c r="E36" s="164">
        <f>IF(+I14&lt;F35,I14,D36)</f>
        <v>82644.178500000009</v>
      </c>
      <c r="F36" s="163">
        <f t="shared" si="10"/>
        <v>1840058.716507805</v>
      </c>
      <c r="G36" s="165">
        <f t="shared" si="11"/>
        <v>299424.96994493715</v>
      </c>
      <c r="H36" s="147">
        <f t="shared" si="12"/>
        <v>299424.96994493715</v>
      </c>
      <c r="I36" s="160">
        <f t="shared" si="0"/>
        <v>0</v>
      </c>
      <c r="J36" s="160"/>
      <c r="K36" s="335"/>
      <c r="L36" s="162">
        <f t="shared" si="2"/>
        <v>0</v>
      </c>
      <c r="M36" s="335"/>
      <c r="N36" s="162">
        <f t="shared" si="4"/>
        <v>0</v>
      </c>
      <c r="O36" s="162">
        <f t="shared" si="5"/>
        <v>0</v>
      </c>
      <c r="P36" s="4"/>
    </row>
    <row r="37" spans="2:16">
      <c r="B37" s="9" t="str">
        <f t="shared" si="6"/>
        <v/>
      </c>
      <c r="C37" s="157">
        <f>IF(D11="","-",+C36+1)</f>
        <v>2032</v>
      </c>
      <c r="D37" s="163">
        <f>IF(F36+SUM(E$17:E36)=D$10,F36,D$10-SUM(E$17:E36))</f>
        <v>1840058.716507805</v>
      </c>
      <c r="E37" s="164">
        <f>IF(+I14&lt;F36,I14,D37)</f>
        <v>82644.178500000009</v>
      </c>
      <c r="F37" s="163">
        <f t="shared" si="10"/>
        <v>1757414.5380078051</v>
      </c>
      <c r="G37" s="165">
        <f t="shared" si="11"/>
        <v>289902.35210557294</v>
      </c>
      <c r="H37" s="147">
        <f t="shared" si="12"/>
        <v>289902.35210557294</v>
      </c>
      <c r="I37" s="160">
        <f t="shared" si="0"/>
        <v>0</v>
      </c>
      <c r="J37" s="160"/>
      <c r="K37" s="335"/>
      <c r="L37" s="162">
        <f t="shared" si="2"/>
        <v>0</v>
      </c>
      <c r="M37" s="335"/>
      <c r="N37" s="162">
        <f t="shared" si="4"/>
        <v>0</v>
      </c>
      <c r="O37" s="162">
        <f t="shared" si="5"/>
        <v>0</v>
      </c>
      <c r="P37" s="4"/>
    </row>
    <row r="38" spans="2:16">
      <c r="B38" s="9" t="str">
        <f t="shared" si="6"/>
        <v/>
      </c>
      <c r="C38" s="157">
        <f>IF(D11="","-",+C37+1)</f>
        <v>2033</v>
      </c>
      <c r="D38" s="163">
        <f>IF(F37+SUM(E$17:E37)=D$10,F37,D$10-SUM(E$17:E37))</f>
        <v>1757414.5380078051</v>
      </c>
      <c r="E38" s="164">
        <f>IF(+I14&lt;F37,I14,D38)</f>
        <v>82644.178500000009</v>
      </c>
      <c r="F38" s="163">
        <f t="shared" si="10"/>
        <v>1674770.3595078052</v>
      </c>
      <c r="G38" s="165">
        <f t="shared" si="11"/>
        <v>280379.73426620878</v>
      </c>
      <c r="H38" s="147">
        <f t="shared" si="12"/>
        <v>280379.73426620878</v>
      </c>
      <c r="I38" s="160">
        <f t="shared" si="0"/>
        <v>0</v>
      </c>
      <c r="J38" s="160"/>
      <c r="K38" s="335"/>
      <c r="L38" s="162">
        <f t="shared" si="2"/>
        <v>0</v>
      </c>
      <c r="M38" s="335"/>
      <c r="N38" s="162">
        <f t="shared" si="4"/>
        <v>0</v>
      </c>
      <c r="O38" s="162">
        <f t="shared" si="5"/>
        <v>0</v>
      </c>
      <c r="P38" s="4"/>
    </row>
    <row r="39" spans="2:16">
      <c r="B39" s="9" t="str">
        <f t="shared" si="6"/>
        <v/>
      </c>
      <c r="C39" s="157">
        <f>IF(D11="","-",+C38+1)</f>
        <v>2034</v>
      </c>
      <c r="D39" s="163">
        <f>IF(F38+SUM(E$17:E38)=D$10,F38,D$10-SUM(E$17:E38))</f>
        <v>1674770.3595078052</v>
      </c>
      <c r="E39" s="164">
        <f>IF(+I14&lt;F38,I14,D39)</f>
        <v>82644.178500000009</v>
      </c>
      <c r="F39" s="163">
        <f t="shared" si="10"/>
        <v>1592126.1810078053</v>
      </c>
      <c r="G39" s="165">
        <f t="shared" si="11"/>
        <v>270857.11642684462</v>
      </c>
      <c r="H39" s="147">
        <f t="shared" si="12"/>
        <v>270857.11642684462</v>
      </c>
      <c r="I39" s="160">
        <f t="shared" si="0"/>
        <v>0</v>
      </c>
      <c r="J39" s="160"/>
      <c r="K39" s="335"/>
      <c r="L39" s="162">
        <f t="shared" si="2"/>
        <v>0</v>
      </c>
      <c r="M39" s="335"/>
      <c r="N39" s="162">
        <f t="shared" si="4"/>
        <v>0</v>
      </c>
      <c r="O39" s="162">
        <f t="shared" si="5"/>
        <v>0</v>
      </c>
      <c r="P39" s="4"/>
    </row>
    <row r="40" spans="2:16">
      <c r="B40" s="9" t="str">
        <f t="shared" si="6"/>
        <v/>
      </c>
      <c r="C40" s="157">
        <f>IF(D11="","-",+C39+1)</f>
        <v>2035</v>
      </c>
      <c r="D40" s="163">
        <f>IF(F39+SUM(E$17:E39)=D$10,F39,D$10-SUM(E$17:E39))</f>
        <v>1592126.1810078053</v>
      </c>
      <c r="E40" s="164">
        <f>IF(+I14&lt;F39,I14,D40)</f>
        <v>82644.178500000009</v>
      </c>
      <c r="F40" s="163">
        <f t="shared" si="10"/>
        <v>1509482.0025078054</v>
      </c>
      <c r="G40" s="165">
        <f t="shared" si="11"/>
        <v>261334.4985874804</v>
      </c>
      <c r="H40" s="147">
        <f t="shared" si="12"/>
        <v>261334.4985874804</v>
      </c>
      <c r="I40" s="160">
        <f t="shared" si="0"/>
        <v>0</v>
      </c>
      <c r="J40" s="160"/>
      <c r="K40" s="335"/>
      <c r="L40" s="162">
        <f t="shared" si="2"/>
        <v>0</v>
      </c>
      <c r="M40" s="335"/>
      <c r="N40" s="162">
        <f t="shared" si="4"/>
        <v>0</v>
      </c>
      <c r="O40" s="162">
        <f t="shared" si="5"/>
        <v>0</v>
      </c>
      <c r="P40" s="4"/>
    </row>
    <row r="41" spans="2:16">
      <c r="B41" s="9" t="str">
        <f t="shared" si="6"/>
        <v/>
      </c>
      <c r="C41" s="157">
        <f>IF(D11="","-",+C40+1)</f>
        <v>2036</v>
      </c>
      <c r="D41" s="163">
        <f>IF(F40+SUM(E$17:E40)=D$10,F40,D$10-SUM(E$17:E40))</f>
        <v>1509482.0025078054</v>
      </c>
      <c r="E41" s="164">
        <f>IF(+I14&lt;F40,I14,D41)</f>
        <v>82644.178500000009</v>
      </c>
      <c r="F41" s="163">
        <f t="shared" si="10"/>
        <v>1426837.8240078054</v>
      </c>
      <c r="G41" s="165">
        <f t="shared" si="11"/>
        <v>251811.88074811621</v>
      </c>
      <c r="H41" s="147">
        <f t="shared" si="12"/>
        <v>251811.88074811621</v>
      </c>
      <c r="I41" s="160">
        <f t="shared" si="0"/>
        <v>0</v>
      </c>
      <c r="J41" s="160"/>
      <c r="K41" s="335"/>
      <c r="L41" s="162">
        <f t="shared" si="2"/>
        <v>0</v>
      </c>
      <c r="M41" s="335"/>
      <c r="N41" s="162">
        <f t="shared" si="4"/>
        <v>0</v>
      </c>
      <c r="O41" s="162">
        <f t="shared" si="5"/>
        <v>0</v>
      </c>
      <c r="P41" s="4"/>
    </row>
    <row r="42" spans="2:16">
      <c r="B42" s="9" t="str">
        <f t="shared" si="6"/>
        <v/>
      </c>
      <c r="C42" s="157">
        <f>IF(D11="","-",+C41+1)</f>
        <v>2037</v>
      </c>
      <c r="D42" s="163">
        <f>IF(F41+SUM(E$17:E41)=D$10,F41,D$10-SUM(E$17:E41))</f>
        <v>1426837.8240078054</v>
      </c>
      <c r="E42" s="164">
        <f>IF(+I14&lt;F41,I14,D42)</f>
        <v>82644.178500000009</v>
      </c>
      <c r="F42" s="163">
        <f t="shared" si="10"/>
        <v>1344193.6455078055</v>
      </c>
      <c r="G42" s="165">
        <f t="shared" si="11"/>
        <v>242289.26290875202</v>
      </c>
      <c r="H42" s="147">
        <f t="shared" si="12"/>
        <v>242289.26290875202</v>
      </c>
      <c r="I42" s="160">
        <f t="shared" si="0"/>
        <v>0</v>
      </c>
      <c r="J42" s="160"/>
      <c r="K42" s="335"/>
      <c r="L42" s="162">
        <f t="shared" si="2"/>
        <v>0</v>
      </c>
      <c r="M42" s="335"/>
      <c r="N42" s="162">
        <f t="shared" si="4"/>
        <v>0</v>
      </c>
      <c r="O42" s="162">
        <f t="shared" si="5"/>
        <v>0</v>
      </c>
      <c r="P42" s="4"/>
    </row>
    <row r="43" spans="2:16">
      <c r="B43" s="9" t="str">
        <f t="shared" si="6"/>
        <v/>
      </c>
      <c r="C43" s="157">
        <f>IF(D11="","-",+C42+1)</f>
        <v>2038</v>
      </c>
      <c r="D43" s="163">
        <f>IF(F42+SUM(E$17:E42)=D$10,F42,D$10-SUM(E$17:E42))</f>
        <v>1344193.6455078055</v>
      </c>
      <c r="E43" s="164">
        <f>IF(+I14&lt;F42,I14,D43)</f>
        <v>82644.178500000009</v>
      </c>
      <c r="F43" s="163">
        <f t="shared" si="10"/>
        <v>1261549.4670078056</v>
      </c>
      <c r="G43" s="165">
        <f t="shared" si="11"/>
        <v>232766.64506938786</v>
      </c>
      <c r="H43" s="147">
        <f t="shared" si="12"/>
        <v>232766.64506938786</v>
      </c>
      <c r="I43" s="160">
        <f t="shared" si="0"/>
        <v>0</v>
      </c>
      <c r="J43" s="160"/>
      <c r="K43" s="335"/>
      <c r="L43" s="162">
        <f t="shared" si="2"/>
        <v>0</v>
      </c>
      <c r="M43" s="335"/>
      <c r="N43" s="162">
        <f t="shared" si="4"/>
        <v>0</v>
      </c>
      <c r="O43" s="162">
        <f t="shared" si="5"/>
        <v>0</v>
      </c>
      <c r="P43" s="4"/>
    </row>
    <row r="44" spans="2:16">
      <c r="B44" s="9" t="str">
        <f t="shared" si="6"/>
        <v/>
      </c>
      <c r="C44" s="157">
        <f>IF(D11="","-",+C43+1)</f>
        <v>2039</v>
      </c>
      <c r="D44" s="163">
        <f>IF(F43+SUM(E$17:E43)=D$10,F43,D$10-SUM(E$17:E43))</f>
        <v>1261549.4670078056</v>
      </c>
      <c r="E44" s="164">
        <f>IF(+I14&lt;F43,I14,D44)</f>
        <v>82644.178500000009</v>
      </c>
      <c r="F44" s="163">
        <f t="shared" si="10"/>
        <v>1178905.2885078057</v>
      </c>
      <c r="G44" s="165">
        <f t="shared" si="11"/>
        <v>223244.02723002367</v>
      </c>
      <c r="H44" s="147">
        <f t="shared" si="12"/>
        <v>223244.02723002367</v>
      </c>
      <c r="I44" s="160">
        <f t="shared" si="0"/>
        <v>0</v>
      </c>
      <c r="J44" s="160"/>
      <c r="K44" s="335"/>
      <c r="L44" s="162">
        <f t="shared" si="2"/>
        <v>0</v>
      </c>
      <c r="M44" s="335"/>
      <c r="N44" s="162">
        <f t="shared" si="4"/>
        <v>0</v>
      </c>
      <c r="O44" s="162">
        <f t="shared" si="5"/>
        <v>0</v>
      </c>
      <c r="P44" s="4"/>
    </row>
    <row r="45" spans="2:16">
      <c r="B45" s="9" t="str">
        <f t="shared" si="6"/>
        <v/>
      </c>
      <c r="C45" s="157">
        <f>IF(D11="","-",+C44+1)</f>
        <v>2040</v>
      </c>
      <c r="D45" s="163">
        <f>IF(F44+SUM(E$17:E44)=D$10,F44,D$10-SUM(E$17:E44))</f>
        <v>1178905.2885078057</v>
      </c>
      <c r="E45" s="164">
        <f>IF(+I14&lt;F44,I14,D45)</f>
        <v>82644.178500000009</v>
      </c>
      <c r="F45" s="163">
        <f t="shared" si="10"/>
        <v>1096261.1100078057</v>
      </c>
      <c r="G45" s="165">
        <f t="shared" si="11"/>
        <v>213721.40939065948</v>
      </c>
      <c r="H45" s="147">
        <f t="shared" si="12"/>
        <v>213721.40939065948</v>
      </c>
      <c r="I45" s="160">
        <f t="shared" si="0"/>
        <v>0</v>
      </c>
      <c r="J45" s="160"/>
      <c r="K45" s="335"/>
      <c r="L45" s="162">
        <f t="shared" si="2"/>
        <v>0</v>
      </c>
      <c r="M45" s="335"/>
      <c r="N45" s="162">
        <f t="shared" si="4"/>
        <v>0</v>
      </c>
      <c r="O45" s="162">
        <f t="shared" si="5"/>
        <v>0</v>
      </c>
      <c r="P45" s="4"/>
    </row>
    <row r="46" spans="2:16">
      <c r="B46" s="9" t="str">
        <f t="shared" si="6"/>
        <v/>
      </c>
      <c r="C46" s="157">
        <f>IF(D11="","-",+C45+1)</f>
        <v>2041</v>
      </c>
      <c r="D46" s="163">
        <f>IF(F45+SUM(E$17:E45)=D$10,F45,D$10-SUM(E$17:E45))</f>
        <v>1096261.1100078057</v>
      </c>
      <c r="E46" s="164">
        <f>IF(+I14&lt;F45,I14,D46)</f>
        <v>82644.178500000009</v>
      </c>
      <c r="F46" s="163">
        <f t="shared" si="10"/>
        <v>1013616.9315078057</v>
      </c>
      <c r="G46" s="165">
        <f t="shared" si="11"/>
        <v>204198.79155129529</v>
      </c>
      <c r="H46" s="147">
        <f t="shared" si="12"/>
        <v>204198.79155129529</v>
      </c>
      <c r="I46" s="160">
        <f t="shared" si="0"/>
        <v>0</v>
      </c>
      <c r="J46" s="160"/>
      <c r="K46" s="335"/>
      <c r="L46" s="162">
        <f t="shared" si="2"/>
        <v>0</v>
      </c>
      <c r="M46" s="335"/>
      <c r="N46" s="162">
        <f t="shared" si="4"/>
        <v>0</v>
      </c>
      <c r="O46" s="162">
        <f t="shared" si="5"/>
        <v>0</v>
      </c>
      <c r="P46" s="4"/>
    </row>
    <row r="47" spans="2:16">
      <c r="B47" s="9" t="str">
        <f t="shared" si="6"/>
        <v/>
      </c>
      <c r="C47" s="157">
        <f>IF(D11="","-",+C46+1)</f>
        <v>2042</v>
      </c>
      <c r="D47" s="163">
        <f>IF(F46+SUM(E$17:E46)=D$10,F46,D$10-SUM(E$17:E46))</f>
        <v>1013616.9315078057</v>
      </c>
      <c r="E47" s="164">
        <f>IF(+I14&lt;F46,I14,D47)</f>
        <v>82644.178500000009</v>
      </c>
      <c r="F47" s="163">
        <f t="shared" si="10"/>
        <v>930972.75300780567</v>
      </c>
      <c r="G47" s="165">
        <f t="shared" si="11"/>
        <v>194676.17371193107</v>
      </c>
      <c r="H47" s="147">
        <f t="shared" si="12"/>
        <v>194676.17371193107</v>
      </c>
      <c r="I47" s="160">
        <f t="shared" si="0"/>
        <v>0</v>
      </c>
      <c r="J47" s="160"/>
      <c r="K47" s="335"/>
      <c r="L47" s="162">
        <f t="shared" si="2"/>
        <v>0</v>
      </c>
      <c r="M47" s="335"/>
      <c r="N47" s="162">
        <f t="shared" si="4"/>
        <v>0</v>
      </c>
      <c r="O47" s="162">
        <f t="shared" si="5"/>
        <v>0</v>
      </c>
      <c r="P47" s="4"/>
    </row>
    <row r="48" spans="2:16">
      <c r="B48" s="9" t="str">
        <f t="shared" si="6"/>
        <v/>
      </c>
      <c r="C48" s="157">
        <f>IF(D11="","-",+C47+1)</f>
        <v>2043</v>
      </c>
      <c r="D48" s="163">
        <f>IF(F47+SUM(E$17:E47)=D$10,F47,D$10-SUM(E$17:E47))</f>
        <v>930972.75300780567</v>
      </c>
      <c r="E48" s="164">
        <f>IF(+I14&lt;F47,I14,D48)</f>
        <v>82644.178500000009</v>
      </c>
      <c r="F48" s="163">
        <f t="shared" si="10"/>
        <v>848328.57450780564</v>
      </c>
      <c r="G48" s="165">
        <f t="shared" si="11"/>
        <v>185153.55587256688</v>
      </c>
      <c r="H48" s="147">
        <f t="shared" si="12"/>
        <v>185153.55587256688</v>
      </c>
      <c r="I48" s="160">
        <f t="shared" si="0"/>
        <v>0</v>
      </c>
      <c r="J48" s="160"/>
      <c r="K48" s="335"/>
      <c r="L48" s="162">
        <f t="shared" si="2"/>
        <v>0</v>
      </c>
      <c r="M48" s="335"/>
      <c r="N48" s="162">
        <f t="shared" si="4"/>
        <v>0</v>
      </c>
      <c r="O48" s="162">
        <f t="shared" si="5"/>
        <v>0</v>
      </c>
      <c r="P48" s="4"/>
    </row>
    <row r="49" spans="2:16">
      <c r="B49" s="9" t="str">
        <f t="shared" si="6"/>
        <v/>
      </c>
      <c r="C49" s="157">
        <f>IF(D11="","-",+C48+1)</f>
        <v>2044</v>
      </c>
      <c r="D49" s="163">
        <f>IF(F48+SUM(E$17:E48)=D$10,F48,D$10-SUM(E$17:E48))</f>
        <v>848328.57450780564</v>
      </c>
      <c r="E49" s="164">
        <f>IF(+I14&lt;F48,I14,D49)</f>
        <v>82644.178500000009</v>
      </c>
      <c r="F49" s="163">
        <f t="shared" ref="F49:F72" si="13">+D49-E49</f>
        <v>765684.3960078056</v>
      </c>
      <c r="G49" s="165">
        <f t="shared" si="11"/>
        <v>175630.93803320266</v>
      </c>
      <c r="H49" s="147">
        <f t="shared" si="12"/>
        <v>175630.93803320266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ref="B50:B72" si="18">IF(D50=F49,"","IU")</f>
        <v/>
      </c>
      <c r="C50" s="157">
        <f>IF(D11="","-",+C49+1)</f>
        <v>2045</v>
      </c>
      <c r="D50" s="163">
        <f>IF(F49+SUM(E$17:E49)=D$10,F49,D$10-SUM(E$17:E49))</f>
        <v>765684.3960078056</v>
      </c>
      <c r="E50" s="164">
        <f>IF(+I14&lt;F49,I14,D50)</f>
        <v>82644.178500000009</v>
      </c>
      <c r="F50" s="163">
        <f t="shared" si="13"/>
        <v>683040.21750780556</v>
      </c>
      <c r="G50" s="165">
        <f t="shared" si="11"/>
        <v>166108.3201938385</v>
      </c>
      <c r="H50" s="147">
        <f t="shared" si="12"/>
        <v>166108.3201938385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18"/>
        <v/>
      </c>
      <c r="C51" s="157">
        <f>IF(D11="","-",+C50+1)</f>
        <v>2046</v>
      </c>
      <c r="D51" s="163">
        <f>IF(F50+SUM(E$17:E50)=D$10,F50,D$10-SUM(E$17:E50))</f>
        <v>683040.21750780556</v>
      </c>
      <c r="E51" s="164">
        <f>IF(+I14&lt;F50,I14,D51)</f>
        <v>82644.178500000009</v>
      </c>
      <c r="F51" s="163">
        <f t="shared" si="13"/>
        <v>600396.03900780552</v>
      </c>
      <c r="G51" s="165">
        <f t="shared" si="11"/>
        <v>156585.70235447428</v>
      </c>
      <c r="H51" s="147">
        <f t="shared" si="12"/>
        <v>156585.70235447428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18"/>
        <v/>
      </c>
      <c r="C52" s="157">
        <f>IF(D11="","-",+C51+1)</f>
        <v>2047</v>
      </c>
      <c r="D52" s="163">
        <f>IF(F51+SUM(E$17:E51)=D$10,F51,D$10-SUM(E$17:E51))</f>
        <v>600396.03900780552</v>
      </c>
      <c r="E52" s="164">
        <f>IF(+I14&lt;F51,I14,D52)</f>
        <v>82644.178500000009</v>
      </c>
      <c r="F52" s="163">
        <f t="shared" si="13"/>
        <v>517751.86050780548</v>
      </c>
      <c r="G52" s="165">
        <f t="shared" si="11"/>
        <v>147063.08451511009</v>
      </c>
      <c r="H52" s="147">
        <f t="shared" si="12"/>
        <v>147063.08451511009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18"/>
        <v/>
      </c>
      <c r="C53" s="157">
        <f>IF(D11="","-",+C52+1)</f>
        <v>2048</v>
      </c>
      <c r="D53" s="163">
        <f>IF(F52+SUM(E$17:E52)=D$10,F52,D$10-SUM(E$17:E52))</f>
        <v>517751.86050780548</v>
      </c>
      <c r="E53" s="164">
        <f>IF(+I14&lt;F52,I14,D53)</f>
        <v>82644.178500000009</v>
      </c>
      <c r="F53" s="163">
        <f t="shared" si="13"/>
        <v>435107.68200780544</v>
      </c>
      <c r="G53" s="165">
        <f t="shared" si="11"/>
        <v>137540.46667574588</v>
      </c>
      <c r="H53" s="147">
        <f t="shared" si="12"/>
        <v>137540.46667574588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18"/>
        <v/>
      </c>
      <c r="C54" s="157">
        <f>IF(D11="","-",+C53+1)</f>
        <v>2049</v>
      </c>
      <c r="D54" s="163">
        <f>IF(F53+SUM(E$17:E53)=D$10,F53,D$10-SUM(E$17:E53))</f>
        <v>435107.68200780544</v>
      </c>
      <c r="E54" s="164">
        <f>IF(+I14&lt;F53,I14,D54)</f>
        <v>82644.178500000009</v>
      </c>
      <c r="F54" s="163">
        <f t="shared" si="13"/>
        <v>352463.50350780541</v>
      </c>
      <c r="G54" s="165">
        <f t="shared" si="11"/>
        <v>128017.84883638169</v>
      </c>
      <c r="H54" s="147">
        <f t="shared" si="12"/>
        <v>128017.84883638169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18"/>
        <v/>
      </c>
      <c r="C55" s="157">
        <f>IF(D11="","-",+C54+1)</f>
        <v>2050</v>
      </c>
      <c r="D55" s="163">
        <f>IF(F54+SUM(E$17:E54)=D$10,F54,D$10-SUM(E$17:E54))</f>
        <v>352463.50350780541</v>
      </c>
      <c r="E55" s="164">
        <f>IF(+I14&lt;F54,I14,D55)</f>
        <v>82644.178500000009</v>
      </c>
      <c r="F55" s="163">
        <f t="shared" si="13"/>
        <v>269819.32500780537</v>
      </c>
      <c r="G55" s="165">
        <f t="shared" si="11"/>
        <v>118495.23099701748</v>
      </c>
      <c r="H55" s="147">
        <f t="shared" si="12"/>
        <v>118495.23099701748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18"/>
        <v/>
      </c>
      <c r="C56" s="157">
        <f>IF(D11="","-",+C55+1)</f>
        <v>2051</v>
      </c>
      <c r="D56" s="163">
        <f>IF(F55+SUM(E$17:E55)=D$10,F55,D$10-SUM(E$17:E55))</f>
        <v>269819.32500780537</v>
      </c>
      <c r="E56" s="164">
        <f>IF(+I14&lt;F55,I14,D56)</f>
        <v>82644.178500000009</v>
      </c>
      <c r="F56" s="163">
        <f t="shared" si="13"/>
        <v>187175.14650780536</v>
      </c>
      <c r="G56" s="165">
        <f t="shared" si="11"/>
        <v>108972.61315765328</v>
      </c>
      <c r="H56" s="147">
        <f t="shared" si="12"/>
        <v>108972.61315765328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18"/>
        <v/>
      </c>
      <c r="C57" s="157">
        <f>IF(D11="","-",+C56+1)</f>
        <v>2052</v>
      </c>
      <c r="D57" s="163">
        <f>IF(F56+SUM(E$17:E56)=D$10,F56,D$10-SUM(E$17:E56))</f>
        <v>187175.14650780536</v>
      </c>
      <c r="E57" s="164">
        <f>IF(+I14&lt;F56,I14,D57)</f>
        <v>82644.178500000009</v>
      </c>
      <c r="F57" s="163">
        <f t="shared" si="13"/>
        <v>104530.96800780535</v>
      </c>
      <c r="G57" s="165">
        <f t="shared" si="11"/>
        <v>99449.995318289089</v>
      </c>
      <c r="H57" s="147">
        <f t="shared" si="12"/>
        <v>99449.995318289089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18"/>
        <v/>
      </c>
      <c r="C58" s="157">
        <f>IF(D11="","-",+C57+1)</f>
        <v>2053</v>
      </c>
      <c r="D58" s="163">
        <f>IF(F57+SUM(E$17:E57)=D$10,F57,D$10-SUM(E$17:E57))</f>
        <v>104530.96800780535</v>
      </c>
      <c r="E58" s="164">
        <f>IF(+I14&lt;F57,I14,D58)</f>
        <v>82644.178500000009</v>
      </c>
      <c r="F58" s="163">
        <f t="shared" si="13"/>
        <v>21886.789507805341</v>
      </c>
      <c r="G58" s="165">
        <f t="shared" si="11"/>
        <v>89927.377478924886</v>
      </c>
      <c r="H58" s="147">
        <f t="shared" si="12"/>
        <v>89927.377478924886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18"/>
        <v/>
      </c>
      <c r="C59" s="157">
        <f>IF(D11="","-",+C58+1)</f>
        <v>2054</v>
      </c>
      <c r="D59" s="163">
        <f>IF(F58+SUM(E$17:E58)=D$10,F58,D$10-SUM(E$17:E58))</f>
        <v>21886.789507805341</v>
      </c>
      <c r="E59" s="164">
        <f>IF(+I14&lt;F58,I14,D59)</f>
        <v>21886.789507805341</v>
      </c>
      <c r="F59" s="163">
        <f t="shared" si="13"/>
        <v>0</v>
      </c>
      <c r="G59" s="165">
        <f t="shared" si="11"/>
        <v>23147.734537426732</v>
      </c>
      <c r="H59" s="147">
        <f t="shared" si="12"/>
        <v>23147.734537426732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18"/>
        <v/>
      </c>
      <c r="C60" s="157">
        <f>IF(D11="","-",+C59+1)</f>
        <v>2055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3"/>
        <v>0</v>
      </c>
      <c r="G60" s="165">
        <f t="shared" si="11"/>
        <v>0</v>
      </c>
      <c r="H60" s="147">
        <f t="shared" si="12"/>
        <v>0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18"/>
        <v/>
      </c>
      <c r="C61" s="157">
        <f>IF(D11="","-",+C60+1)</f>
        <v>2056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18"/>
        <v/>
      </c>
      <c r="C62" s="157">
        <f>IF(D11="","-",+C61+1)</f>
        <v>2057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18"/>
        <v/>
      </c>
      <c r="C63" s="157">
        <f>IF(D11="","-",+C62+1)</f>
        <v>2058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18"/>
        <v/>
      </c>
      <c r="C64" s="157">
        <f>IF(D11="","-",+C63+1)</f>
        <v>2059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18"/>
        <v/>
      </c>
      <c r="C65" s="157">
        <f>IF(D11="","-",+C64+1)</f>
        <v>2060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18"/>
        <v/>
      </c>
      <c r="C66" s="157">
        <f>IF(D11="","-",+C65+1)</f>
        <v>2061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18"/>
        <v/>
      </c>
      <c r="C67" s="157">
        <f>IF(D11="","-",+C66+1)</f>
        <v>2062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18"/>
        <v/>
      </c>
      <c r="C68" s="157">
        <f>IF(D11="","-",+C67+1)</f>
        <v>2063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18"/>
        <v/>
      </c>
      <c r="C69" s="157">
        <f>IF(D11="","-",+C68+1)</f>
        <v>2064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18"/>
        <v/>
      </c>
      <c r="C70" s="157">
        <f>IF(D11="","-",+C69+1)</f>
        <v>2065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18"/>
        <v/>
      </c>
      <c r="C71" s="157">
        <f>IF(D11="","-",+C70+1)</f>
        <v>2066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18"/>
        <v/>
      </c>
      <c r="C72" s="168">
        <f>IF(D11="","-",+C71+1)</f>
        <v>2067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3305767.1399999997</v>
      </c>
      <c r="F73" s="115"/>
      <c r="G73" s="115">
        <f>SUM(G17:G72)</f>
        <v>11765234.368649758</v>
      </c>
      <c r="H73" s="115">
        <f>SUM(H17:H72)</f>
        <v>11765234.368649758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12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452105.50304347824</v>
      </c>
      <c r="N87" s="202">
        <f>IF(J92&lt;D11,0,VLOOKUP(J92,C17:O72,11))</f>
        <v>452105.50304347824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453292.85398579738</v>
      </c>
      <c r="N88" s="204">
        <f>IF(J92&lt;D11,0,VLOOKUP(J92,C99:P154,7))</f>
        <v>453292.85398579738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Canadian River - McAlester City 138 kV Line Conversion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1187.3509423191426</v>
      </c>
      <c r="N89" s="207">
        <f>+N88-N87</f>
        <v>1187.3509423191426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TP2009095-PSO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f>+D10</f>
        <v>3305767.14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v>2012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v>10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71865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41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2012</v>
      </c>
      <c r="D99" s="420">
        <f>IF(D93=C99,0,D92)</f>
        <v>0</v>
      </c>
      <c r="E99" s="421">
        <v>1616</v>
      </c>
      <c r="F99" s="422">
        <v>502209</v>
      </c>
      <c r="G99" s="427">
        <v>251209</v>
      </c>
      <c r="H99" s="423">
        <v>37753</v>
      </c>
      <c r="I99" s="424">
        <v>37753</v>
      </c>
      <c r="J99" s="162">
        <f t="shared" ref="J99:J130" si="19">+I99-H99</f>
        <v>0</v>
      </c>
      <c r="K99" s="434"/>
      <c r="L99" s="384">
        <f>H99</f>
        <v>37753</v>
      </c>
      <c r="M99" s="435">
        <f>IF(L99&lt;&gt;0,+H99-L99,0)</f>
        <v>0</v>
      </c>
      <c r="N99" s="384">
        <f>I99</f>
        <v>37753</v>
      </c>
      <c r="O99" s="175">
        <f>IF(N99&lt;&gt;0,+I99-N99,0)</f>
        <v>0</v>
      </c>
      <c r="P99" s="161">
        <f>+O99-M99</f>
        <v>0</v>
      </c>
    </row>
    <row r="100" spans="1:16">
      <c r="B100" s="9" t="str">
        <f t="shared" ref="B100:B131" si="20">IF(D100=F99,"","IU")</f>
        <v>IU</v>
      </c>
      <c r="C100" s="157">
        <f>IF(D93="","-",+C99+1)</f>
        <v>2013</v>
      </c>
      <c r="D100" s="436">
        <v>3240518</v>
      </c>
      <c r="E100" s="437">
        <v>62349</v>
      </c>
      <c r="F100" s="438">
        <v>3178169</v>
      </c>
      <c r="G100" s="438">
        <v>3209343.5</v>
      </c>
      <c r="H100" s="437">
        <v>524300.60020262119</v>
      </c>
      <c r="I100" s="439">
        <v>524300.60020262119</v>
      </c>
      <c r="J100" s="162">
        <v>0</v>
      </c>
      <c r="K100" s="434"/>
      <c r="L100" s="380">
        <f>H100</f>
        <v>524300.60020262119</v>
      </c>
      <c r="M100" s="435">
        <f>IF(L100&lt;&gt;0,+H100-L100,0)</f>
        <v>0</v>
      </c>
      <c r="N100" s="380">
        <f>I100</f>
        <v>524300.60020262119</v>
      </c>
      <c r="O100" s="175">
        <f>IF(N100&lt;&gt;0,+I100-N100,0)</f>
        <v>0</v>
      </c>
      <c r="P100" s="162">
        <f>+O100-M100</f>
        <v>0</v>
      </c>
    </row>
    <row r="101" spans="1:16">
      <c r="B101" s="9" t="str">
        <f t="shared" si="20"/>
        <v>IU</v>
      </c>
      <c r="C101" s="157">
        <f>IF(D93="","-",+C100+1)</f>
        <v>2014</v>
      </c>
      <c r="D101" s="436">
        <v>3241802.14</v>
      </c>
      <c r="E101" s="437">
        <v>63572</v>
      </c>
      <c r="F101" s="438">
        <v>3178230.14</v>
      </c>
      <c r="G101" s="438">
        <v>3210016.14</v>
      </c>
      <c r="H101" s="437">
        <v>514887.14751698606</v>
      </c>
      <c r="I101" s="439">
        <v>514887.14751698606</v>
      </c>
      <c r="J101" s="162">
        <v>0</v>
      </c>
      <c r="K101" s="434"/>
      <c r="L101" s="380">
        <f>H101</f>
        <v>514887.14751698606</v>
      </c>
      <c r="M101" s="435">
        <f>IF(L101&lt;&gt;0,+H101-L101,0)</f>
        <v>0</v>
      </c>
      <c r="N101" s="380">
        <f>I101</f>
        <v>514887.14751698606</v>
      </c>
      <c r="O101" s="175">
        <f>IF(N101&lt;&gt;0,+I101-N101,0)</f>
        <v>0</v>
      </c>
      <c r="P101" s="162">
        <f>+O101-M101</f>
        <v>0</v>
      </c>
    </row>
    <row r="102" spans="1:16">
      <c r="B102" s="9" t="str">
        <f t="shared" si="20"/>
        <v/>
      </c>
      <c r="C102" s="157">
        <f>IF(D93="","-",+C101+1)</f>
        <v>2015</v>
      </c>
      <c r="D102" s="436">
        <v>3178230.14</v>
      </c>
      <c r="E102" s="437">
        <v>63572</v>
      </c>
      <c r="F102" s="438">
        <v>3114658.14</v>
      </c>
      <c r="G102" s="438">
        <v>3146444.14</v>
      </c>
      <c r="H102" s="437">
        <v>492879.0042454137</v>
      </c>
      <c r="I102" s="439">
        <v>492879.0042454137</v>
      </c>
      <c r="J102" s="162">
        <f t="shared" si="19"/>
        <v>0</v>
      </c>
      <c r="K102" s="162"/>
      <c r="L102" s="380">
        <f>H102</f>
        <v>492879.0042454137</v>
      </c>
      <c r="M102" s="435">
        <f>IF(L102&lt;&gt;0,+H102-L102,0)</f>
        <v>0</v>
      </c>
      <c r="N102" s="380">
        <f>I102</f>
        <v>492879.0042454137</v>
      </c>
      <c r="O102" s="175">
        <f>IF(N102&lt;&gt;0,+I102-N102,0)</f>
        <v>0</v>
      </c>
      <c r="P102" s="162">
        <f>+O102-M102</f>
        <v>0</v>
      </c>
    </row>
    <row r="103" spans="1:16">
      <c r="B103" s="9" t="str">
        <f t="shared" si="20"/>
        <v/>
      </c>
      <c r="C103" s="157">
        <f>IF(D93="","-",+C102+1)</f>
        <v>2016</v>
      </c>
      <c r="D103" s="436">
        <v>3114658.14</v>
      </c>
      <c r="E103" s="437">
        <v>71865</v>
      </c>
      <c r="F103" s="438">
        <v>3042793.14</v>
      </c>
      <c r="G103" s="438">
        <v>3078725.64</v>
      </c>
      <c r="H103" s="437">
        <v>468761.221459263</v>
      </c>
      <c r="I103" s="439">
        <v>468761.221459263</v>
      </c>
      <c r="J103" s="162">
        <v>0</v>
      </c>
      <c r="K103" s="162"/>
      <c r="L103" s="380">
        <f>H103</f>
        <v>468761.221459263</v>
      </c>
      <c r="M103" s="435">
        <f>IF(L103&lt;&gt;0,+H103-L103,0)</f>
        <v>0</v>
      </c>
      <c r="N103" s="380">
        <f>I103</f>
        <v>468761.221459263</v>
      </c>
      <c r="O103" s="175">
        <f>IF(N103&lt;&gt;0,+I103-N103,0)</f>
        <v>0</v>
      </c>
      <c r="P103" s="162">
        <f>+O103-M103</f>
        <v>0</v>
      </c>
    </row>
    <row r="104" spans="1:16">
      <c r="B104" s="9" t="str">
        <f t="shared" si="20"/>
        <v/>
      </c>
      <c r="C104" s="157">
        <f>IF(D93="","-",+C103+1)</f>
        <v>2017</v>
      </c>
      <c r="D104" s="158">
        <f>IF(F103+SUM(E$99:E103)=D$92,F103,D$92-SUM(E$99:E103))</f>
        <v>3042793.14</v>
      </c>
      <c r="E104" s="164">
        <f t="shared" ref="E104:E154" si="21">IF(+J$96&lt;F103,J$96,D104)</f>
        <v>71865</v>
      </c>
      <c r="F104" s="163">
        <f t="shared" ref="F104:F154" si="22">+D104-E104</f>
        <v>2970928.14</v>
      </c>
      <c r="G104" s="163">
        <f t="shared" ref="G104:G154" si="23">+(F104+D104)/2</f>
        <v>3006860.64</v>
      </c>
      <c r="H104" s="167">
        <f t="shared" ref="H104:H130" si="24">+J$94*G104+E104</f>
        <v>453292.85398579738</v>
      </c>
      <c r="I104" s="317">
        <f t="shared" ref="I104:I130" si="25">+J$95*G104+E104</f>
        <v>453292.85398579738</v>
      </c>
      <c r="J104" s="162">
        <f t="shared" si="19"/>
        <v>0</v>
      </c>
      <c r="K104" s="162"/>
      <c r="L104" s="335"/>
      <c r="M104" s="162">
        <f t="shared" ref="M104:M130" si="26">IF(L104&lt;&gt;0,+H104-L104,0)</f>
        <v>0</v>
      </c>
      <c r="N104" s="335"/>
      <c r="O104" s="162">
        <f t="shared" ref="O104:O130" si="27">IF(N104&lt;&gt;0,+I104-N104,0)</f>
        <v>0</v>
      </c>
      <c r="P104" s="162">
        <f t="shared" ref="P104:P130" si="28">+O104-M104</f>
        <v>0</v>
      </c>
    </row>
    <row r="105" spans="1:16">
      <c r="B105" s="9" t="str">
        <f t="shared" si="20"/>
        <v/>
      </c>
      <c r="C105" s="157">
        <f>IF(D93="","-",+C104+1)</f>
        <v>2018</v>
      </c>
      <c r="D105" s="158">
        <f>IF(F104+SUM(E$99:E104)=D$92,F104,D$92-SUM(E$99:E104))</f>
        <v>2970928.14</v>
      </c>
      <c r="E105" s="164">
        <f t="shared" si="21"/>
        <v>71865</v>
      </c>
      <c r="F105" s="163">
        <f t="shared" si="22"/>
        <v>2899063.14</v>
      </c>
      <c r="G105" s="163">
        <f t="shared" si="23"/>
        <v>2934995.64</v>
      </c>
      <c r="H105" s="167">
        <f t="shared" si="24"/>
        <v>444176.59752813552</v>
      </c>
      <c r="I105" s="317">
        <f t="shared" si="25"/>
        <v>444176.59752813552</v>
      </c>
      <c r="J105" s="162">
        <f t="shared" si="19"/>
        <v>0</v>
      </c>
      <c r="K105" s="162"/>
      <c r="L105" s="335"/>
      <c r="M105" s="162">
        <f t="shared" si="26"/>
        <v>0</v>
      </c>
      <c r="N105" s="335"/>
      <c r="O105" s="162">
        <f t="shared" si="27"/>
        <v>0</v>
      </c>
      <c r="P105" s="162">
        <f t="shared" si="28"/>
        <v>0</v>
      </c>
    </row>
    <row r="106" spans="1:16">
      <c r="B106" s="9" t="str">
        <f t="shared" si="20"/>
        <v/>
      </c>
      <c r="C106" s="157">
        <f>IF(D93="","-",+C105+1)</f>
        <v>2019</v>
      </c>
      <c r="D106" s="158">
        <f>IF(F105+SUM(E$99:E105)=D$92,F105,D$92-SUM(E$99:E105))</f>
        <v>2899063.14</v>
      </c>
      <c r="E106" s="164">
        <f t="shared" si="21"/>
        <v>71865</v>
      </c>
      <c r="F106" s="163">
        <f t="shared" si="22"/>
        <v>2827198.14</v>
      </c>
      <c r="G106" s="163">
        <f t="shared" si="23"/>
        <v>2863130.64</v>
      </c>
      <c r="H106" s="167">
        <f t="shared" si="24"/>
        <v>435060.3410704736</v>
      </c>
      <c r="I106" s="317">
        <f t="shared" si="25"/>
        <v>435060.3410704736</v>
      </c>
      <c r="J106" s="162">
        <f t="shared" si="19"/>
        <v>0</v>
      </c>
      <c r="K106" s="162"/>
      <c r="L106" s="335"/>
      <c r="M106" s="162">
        <f t="shared" si="26"/>
        <v>0</v>
      </c>
      <c r="N106" s="335"/>
      <c r="O106" s="162">
        <f t="shared" si="27"/>
        <v>0</v>
      </c>
      <c r="P106" s="162">
        <f t="shared" si="28"/>
        <v>0</v>
      </c>
    </row>
    <row r="107" spans="1:16">
      <c r="B107" s="9" t="str">
        <f t="shared" si="20"/>
        <v/>
      </c>
      <c r="C107" s="157">
        <f>IF(D93="","-",+C106+1)</f>
        <v>2020</v>
      </c>
      <c r="D107" s="158">
        <f>IF(F106+SUM(E$99:E106)=D$92,F106,D$92-SUM(E$99:E106))</f>
        <v>2827198.14</v>
      </c>
      <c r="E107" s="165">
        <f t="shared" si="21"/>
        <v>71865</v>
      </c>
      <c r="F107" s="163">
        <f t="shared" si="22"/>
        <v>2755333.14</v>
      </c>
      <c r="G107" s="163">
        <f t="shared" si="23"/>
        <v>2791265.64</v>
      </c>
      <c r="H107" s="167">
        <f t="shared" si="24"/>
        <v>425944.08461281174</v>
      </c>
      <c r="I107" s="317">
        <f t="shared" si="25"/>
        <v>425944.08461281174</v>
      </c>
      <c r="J107" s="162">
        <f t="shared" si="19"/>
        <v>0</v>
      </c>
      <c r="K107" s="162"/>
      <c r="L107" s="335"/>
      <c r="M107" s="162">
        <f t="shared" si="26"/>
        <v>0</v>
      </c>
      <c r="N107" s="335"/>
      <c r="O107" s="162">
        <f t="shared" si="27"/>
        <v>0</v>
      </c>
      <c r="P107" s="162">
        <f t="shared" si="28"/>
        <v>0</v>
      </c>
    </row>
    <row r="108" spans="1:16">
      <c r="B108" s="9" t="str">
        <f t="shared" si="20"/>
        <v/>
      </c>
      <c r="C108" s="157">
        <f>IF(D93="","-",+C107+1)</f>
        <v>2021</v>
      </c>
      <c r="D108" s="158">
        <f>IF(F107+SUM(E$99:E107)=D$92,F107,D$92-SUM(E$99:E107))</f>
        <v>2755333.14</v>
      </c>
      <c r="E108" s="165">
        <f t="shared" si="21"/>
        <v>71865</v>
      </c>
      <c r="F108" s="163">
        <f t="shared" si="22"/>
        <v>2683468.14</v>
      </c>
      <c r="G108" s="163">
        <f t="shared" si="23"/>
        <v>2719400.64</v>
      </c>
      <c r="H108" s="167">
        <f t="shared" si="24"/>
        <v>416827.82815514988</v>
      </c>
      <c r="I108" s="317">
        <f t="shared" si="25"/>
        <v>416827.82815514988</v>
      </c>
      <c r="J108" s="162">
        <f t="shared" si="19"/>
        <v>0</v>
      </c>
      <c r="K108" s="162"/>
      <c r="L108" s="335"/>
      <c r="M108" s="162">
        <f t="shared" si="26"/>
        <v>0</v>
      </c>
      <c r="N108" s="335"/>
      <c r="O108" s="162">
        <f t="shared" si="27"/>
        <v>0</v>
      </c>
      <c r="P108" s="162">
        <f t="shared" si="28"/>
        <v>0</v>
      </c>
    </row>
    <row r="109" spans="1:16">
      <c r="B109" s="9" t="str">
        <f t="shared" si="20"/>
        <v/>
      </c>
      <c r="C109" s="157">
        <f>IF(D93="","-",+C108+1)</f>
        <v>2022</v>
      </c>
      <c r="D109" s="158">
        <f>IF(F108+SUM(E$99:E108)=D$92,F108,D$92-SUM(E$99:E108))</f>
        <v>2683468.14</v>
      </c>
      <c r="E109" s="165">
        <f t="shared" si="21"/>
        <v>71865</v>
      </c>
      <c r="F109" s="163">
        <f t="shared" si="22"/>
        <v>2611603.14</v>
      </c>
      <c r="G109" s="163">
        <f t="shared" si="23"/>
        <v>2647535.64</v>
      </c>
      <c r="H109" s="167">
        <f t="shared" si="24"/>
        <v>407711.57169748802</v>
      </c>
      <c r="I109" s="317">
        <f t="shared" si="25"/>
        <v>407711.57169748802</v>
      </c>
      <c r="J109" s="162">
        <f t="shared" si="19"/>
        <v>0</v>
      </c>
      <c r="K109" s="162"/>
      <c r="L109" s="335"/>
      <c r="M109" s="162">
        <f t="shared" si="26"/>
        <v>0</v>
      </c>
      <c r="N109" s="335"/>
      <c r="O109" s="162">
        <f t="shared" si="27"/>
        <v>0</v>
      </c>
      <c r="P109" s="162">
        <f t="shared" si="28"/>
        <v>0</v>
      </c>
    </row>
    <row r="110" spans="1:16">
      <c r="B110" s="9" t="str">
        <f t="shared" si="20"/>
        <v/>
      </c>
      <c r="C110" s="157">
        <f>IF(D93="","-",+C109+1)</f>
        <v>2023</v>
      </c>
      <c r="D110" s="158">
        <f>IF(F109+SUM(E$99:E109)=D$92,F109,D$92-SUM(E$99:E109))</f>
        <v>2611603.14</v>
      </c>
      <c r="E110" s="165">
        <f t="shared" si="21"/>
        <v>71865</v>
      </c>
      <c r="F110" s="163">
        <f t="shared" si="22"/>
        <v>2539738.14</v>
      </c>
      <c r="G110" s="163">
        <f t="shared" si="23"/>
        <v>2575670.64</v>
      </c>
      <c r="H110" s="167">
        <f t="shared" si="24"/>
        <v>398595.3152398261</v>
      </c>
      <c r="I110" s="317">
        <f t="shared" si="25"/>
        <v>398595.3152398261</v>
      </c>
      <c r="J110" s="162">
        <f t="shared" si="19"/>
        <v>0</v>
      </c>
      <c r="K110" s="162"/>
      <c r="L110" s="335"/>
      <c r="M110" s="162">
        <f t="shared" si="26"/>
        <v>0</v>
      </c>
      <c r="N110" s="335"/>
      <c r="O110" s="162">
        <f t="shared" si="27"/>
        <v>0</v>
      </c>
      <c r="P110" s="162">
        <f t="shared" si="28"/>
        <v>0</v>
      </c>
    </row>
    <row r="111" spans="1:16">
      <c r="B111" s="9" t="str">
        <f t="shared" si="20"/>
        <v/>
      </c>
      <c r="C111" s="157">
        <f>IF(D93="","-",+C110+1)</f>
        <v>2024</v>
      </c>
      <c r="D111" s="158">
        <f>IF(F110+SUM(E$99:E110)=D$92,F110,D$92-SUM(E$99:E110))</f>
        <v>2539738.14</v>
      </c>
      <c r="E111" s="165">
        <f t="shared" si="21"/>
        <v>71865</v>
      </c>
      <c r="F111" s="163">
        <f t="shared" si="22"/>
        <v>2467873.14</v>
      </c>
      <c r="G111" s="163">
        <f t="shared" si="23"/>
        <v>2503805.64</v>
      </c>
      <c r="H111" s="167">
        <f t="shared" si="24"/>
        <v>389479.05878216424</v>
      </c>
      <c r="I111" s="317">
        <f t="shared" si="25"/>
        <v>389479.05878216424</v>
      </c>
      <c r="J111" s="162">
        <f t="shared" si="19"/>
        <v>0</v>
      </c>
      <c r="K111" s="162"/>
      <c r="L111" s="335"/>
      <c r="M111" s="162">
        <f t="shared" si="26"/>
        <v>0</v>
      </c>
      <c r="N111" s="335"/>
      <c r="O111" s="162">
        <f t="shared" si="27"/>
        <v>0</v>
      </c>
      <c r="P111" s="162">
        <f t="shared" si="28"/>
        <v>0</v>
      </c>
    </row>
    <row r="112" spans="1:16">
      <c r="B112" s="9" t="str">
        <f t="shared" si="20"/>
        <v/>
      </c>
      <c r="C112" s="157">
        <f>IF(D93="","-",+C111+1)</f>
        <v>2025</v>
      </c>
      <c r="D112" s="158">
        <f>IF(F111+SUM(E$99:E111)=D$92,F111,D$92-SUM(E$99:E111))</f>
        <v>2467873.14</v>
      </c>
      <c r="E112" s="165">
        <f t="shared" si="21"/>
        <v>71865</v>
      </c>
      <c r="F112" s="163">
        <f t="shared" si="22"/>
        <v>2396008.14</v>
      </c>
      <c r="G112" s="163">
        <f t="shared" si="23"/>
        <v>2431940.64</v>
      </c>
      <c r="H112" s="167">
        <f t="shared" si="24"/>
        <v>380362.80232450238</v>
      </c>
      <c r="I112" s="317">
        <f t="shared" si="25"/>
        <v>380362.80232450238</v>
      </c>
      <c r="J112" s="162">
        <f t="shared" si="19"/>
        <v>0</v>
      </c>
      <c r="K112" s="162"/>
      <c r="L112" s="335"/>
      <c r="M112" s="162">
        <f t="shared" si="26"/>
        <v>0</v>
      </c>
      <c r="N112" s="335"/>
      <c r="O112" s="162">
        <f t="shared" si="27"/>
        <v>0</v>
      </c>
      <c r="P112" s="162">
        <f t="shared" si="28"/>
        <v>0</v>
      </c>
    </row>
    <row r="113" spans="2:16">
      <c r="B113" s="9" t="str">
        <f t="shared" si="20"/>
        <v/>
      </c>
      <c r="C113" s="157">
        <f>IF(D93="","-",+C112+1)</f>
        <v>2026</v>
      </c>
      <c r="D113" s="158">
        <f>IF(F112+SUM(E$99:E112)=D$92,F112,D$92-SUM(E$99:E112))</f>
        <v>2396008.14</v>
      </c>
      <c r="E113" s="165">
        <f t="shared" si="21"/>
        <v>71865</v>
      </c>
      <c r="F113" s="163">
        <f t="shared" si="22"/>
        <v>2324143.14</v>
      </c>
      <c r="G113" s="163">
        <f t="shared" si="23"/>
        <v>2360075.64</v>
      </c>
      <c r="H113" s="167">
        <f t="shared" si="24"/>
        <v>371246.54586684046</v>
      </c>
      <c r="I113" s="317">
        <f t="shared" si="25"/>
        <v>371246.54586684046</v>
      </c>
      <c r="J113" s="162">
        <f t="shared" si="19"/>
        <v>0</v>
      </c>
      <c r="K113" s="162"/>
      <c r="L113" s="335"/>
      <c r="M113" s="162">
        <f t="shared" si="26"/>
        <v>0</v>
      </c>
      <c r="N113" s="335"/>
      <c r="O113" s="162">
        <f t="shared" si="27"/>
        <v>0</v>
      </c>
      <c r="P113" s="162">
        <f t="shared" si="28"/>
        <v>0</v>
      </c>
    </row>
    <row r="114" spans="2:16">
      <c r="B114" s="9" t="str">
        <f t="shared" si="20"/>
        <v/>
      </c>
      <c r="C114" s="157">
        <f>IF(D93="","-",+C113+1)</f>
        <v>2027</v>
      </c>
      <c r="D114" s="158">
        <f>IF(F113+SUM(E$99:E113)=D$92,F113,D$92-SUM(E$99:E113))</f>
        <v>2324143.14</v>
      </c>
      <c r="E114" s="165">
        <f t="shared" si="21"/>
        <v>71865</v>
      </c>
      <c r="F114" s="163">
        <f t="shared" si="22"/>
        <v>2252278.14</v>
      </c>
      <c r="G114" s="163">
        <f t="shared" si="23"/>
        <v>2288210.64</v>
      </c>
      <c r="H114" s="167">
        <f t="shared" si="24"/>
        <v>362130.2894091786</v>
      </c>
      <c r="I114" s="317">
        <f t="shared" si="25"/>
        <v>362130.2894091786</v>
      </c>
      <c r="J114" s="162">
        <f t="shared" si="19"/>
        <v>0</v>
      </c>
      <c r="K114" s="162"/>
      <c r="L114" s="335"/>
      <c r="M114" s="162">
        <f t="shared" si="26"/>
        <v>0</v>
      </c>
      <c r="N114" s="335"/>
      <c r="O114" s="162">
        <f t="shared" si="27"/>
        <v>0</v>
      </c>
      <c r="P114" s="162">
        <f t="shared" si="28"/>
        <v>0</v>
      </c>
    </row>
    <row r="115" spans="2:16">
      <c r="B115" s="9" t="str">
        <f t="shared" si="20"/>
        <v/>
      </c>
      <c r="C115" s="157">
        <f>IF(D93="","-",+C114+1)</f>
        <v>2028</v>
      </c>
      <c r="D115" s="158">
        <f>IF(F114+SUM(E$99:E114)=D$92,F114,D$92-SUM(E$99:E114))</f>
        <v>2252278.14</v>
      </c>
      <c r="E115" s="165">
        <f t="shared" si="21"/>
        <v>71865</v>
      </c>
      <c r="F115" s="163">
        <f t="shared" si="22"/>
        <v>2180413.14</v>
      </c>
      <c r="G115" s="163">
        <f t="shared" si="23"/>
        <v>2216345.64</v>
      </c>
      <c r="H115" s="167">
        <f t="shared" si="24"/>
        <v>353014.03295151674</v>
      </c>
      <c r="I115" s="317">
        <f t="shared" si="25"/>
        <v>353014.03295151674</v>
      </c>
      <c r="J115" s="162">
        <f t="shared" si="19"/>
        <v>0</v>
      </c>
      <c r="K115" s="162"/>
      <c r="L115" s="335"/>
      <c r="M115" s="162">
        <f t="shared" si="26"/>
        <v>0</v>
      </c>
      <c r="N115" s="335"/>
      <c r="O115" s="162">
        <f t="shared" si="27"/>
        <v>0</v>
      </c>
      <c r="P115" s="162">
        <f t="shared" si="28"/>
        <v>0</v>
      </c>
    </row>
    <row r="116" spans="2:16">
      <c r="B116" s="9" t="str">
        <f t="shared" si="20"/>
        <v/>
      </c>
      <c r="C116" s="157">
        <f>IF(D93="","-",+C115+1)</f>
        <v>2029</v>
      </c>
      <c r="D116" s="158">
        <f>IF(F115+SUM(E$99:E115)=D$92,F115,D$92-SUM(E$99:E115))</f>
        <v>2180413.14</v>
      </c>
      <c r="E116" s="165">
        <f t="shared" si="21"/>
        <v>71865</v>
      </c>
      <c r="F116" s="163">
        <f t="shared" si="22"/>
        <v>2108548.14</v>
      </c>
      <c r="G116" s="163">
        <f t="shared" si="23"/>
        <v>2144480.64</v>
      </c>
      <c r="H116" s="167">
        <f t="shared" si="24"/>
        <v>343897.77649385482</v>
      </c>
      <c r="I116" s="317">
        <f t="shared" si="25"/>
        <v>343897.77649385482</v>
      </c>
      <c r="J116" s="162">
        <f t="shared" si="19"/>
        <v>0</v>
      </c>
      <c r="K116" s="162"/>
      <c r="L116" s="335"/>
      <c r="M116" s="162">
        <f t="shared" si="26"/>
        <v>0</v>
      </c>
      <c r="N116" s="335"/>
      <c r="O116" s="162">
        <f t="shared" si="27"/>
        <v>0</v>
      </c>
      <c r="P116" s="162">
        <f t="shared" si="28"/>
        <v>0</v>
      </c>
    </row>
    <row r="117" spans="2:16">
      <c r="B117" s="9" t="str">
        <f t="shared" si="20"/>
        <v/>
      </c>
      <c r="C117" s="157">
        <f>IF(D93="","-",+C116+1)</f>
        <v>2030</v>
      </c>
      <c r="D117" s="158">
        <f>IF(F116+SUM(E$99:E116)=D$92,F116,D$92-SUM(E$99:E116))</f>
        <v>2108548.14</v>
      </c>
      <c r="E117" s="165">
        <f t="shared" si="21"/>
        <v>71865</v>
      </c>
      <c r="F117" s="163">
        <f t="shared" si="22"/>
        <v>2036683.1400000001</v>
      </c>
      <c r="G117" s="163">
        <f t="shared" si="23"/>
        <v>2072615.6400000001</v>
      </c>
      <c r="H117" s="167">
        <f t="shared" si="24"/>
        <v>334781.52003619296</v>
      </c>
      <c r="I117" s="317">
        <f t="shared" si="25"/>
        <v>334781.52003619296</v>
      </c>
      <c r="J117" s="162">
        <f t="shared" si="19"/>
        <v>0</v>
      </c>
      <c r="K117" s="162"/>
      <c r="L117" s="335"/>
      <c r="M117" s="162">
        <f t="shared" si="26"/>
        <v>0</v>
      </c>
      <c r="N117" s="335"/>
      <c r="O117" s="162">
        <f t="shared" si="27"/>
        <v>0</v>
      </c>
      <c r="P117" s="162">
        <f t="shared" si="28"/>
        <v>0</v>
      </c>
    </row>
    <row r="118" spans="2:16">
      <c r="B118" s="9" t="str">
        <f t="shared" si="20"/>
        <v/>
      </c>
      <c r="C118" s="157">
        <f>IF(D93="","-",+C117+1)</f>
        <v>2031</v>
      </c>
      <c r="D118" s="158">
        <f>IF(F117+SUM(E$99:E117)=D$92,F117,D$92-SUM(E$99:E117))</f>
        <v>2036683.1400000001</v>
      </c>
      <c r="E118" s="165">
        <f t="shared" si="21"/>
        <v>71865</v>
      </c>
      <c r="F118" s="163">
        <f t="shared" si="22"/>
        <v>1964818.1400000001</v>
      </c>
      <c r="G118" s="163">
        <f t="shared" si="23"/>
        <v>2000750.6400000001</v>
      </c>
      <c r="H118" s="167">
        <f t="shared" si="24"/>
        <v>325665.2635785311</v>
      </c>
      <c r="I118" s="317">
        <f t="shared" si="25"/>
        <v>325665.2635785311</v>
      </c>
      <c r="J118" s="162">
        <f t="shared" si="19"/>
        <v>0</v>
      </c>
      <c r="K118" s="162"/>
      <c r="L118" s="335"/>
      <c r="M118" s="162">
        <f t="shared" si="26"/>
        <v>0</v>
      </c>
      <c r="N118" s="335"/>
      <c r="O118" s="162">
        <f t="shared" si="27"/>
        <v>0</v>
      </c>
      <c r="P118" s="162">
        <f t="shared" si="28"/>
        <v>0</v>
      </c>
    </row>
    <row r="119" spans="2:16">
      <c r="B119" s="9" t="str">
        <f t="shared" si="20"/>
        <v/>
      </c>
      <c r="C119" s="157">
        <f>IF(D93="","-",+C118+1)</f>
        <v>2032</v>
      </c>
      <c r="D119" s="158">
        <f>IF(F118+SUM(E$99:E118)=D$92,F118,D$92-SUM(E$99:E118))</f>
        <v>1964818.1400000001</v>
      </c>
      <c r="E119" s="165">
        <f t="shared" si="21"/>
        <v>71865</v>
      </c>
      <c r="F119" s="163">
        <f t="shared" si="22"/>
        <v>1892953.1400000001</v>
      </c>
      <c r="G119" s="163">
        <f t="shared" si="23"/>
        <v>1928885.6400000001</v>
      </c>
      <c r="H119" s="167">
        <f t="shared" si="24"/>
        <v>316549.00712086924</v>
      </c>
      <c r="I119" s="317">
        <f t="shared" si="25"/>
        <v>316549.00712086924</v>
      </c>
      <c r="J119" s="162">
        <f t="shared" si="19"/>
        <v>0</v>
      </c>
      <c r="K119" s="162"/>
      <c r="L119" s="335"/>
      <c r="M119" s="162">
        <f t="shared" si="26"/>
        <v>0</v>
      </c>
      <c r="N119" s="335"/>
      <c r="O119" s="162">
        <f t="shared" si="27"/>
        <v>0</v>
      </c>
      <c r="P119" s="162">
        <f t="shared" si="28"/>
        <v>0</v>
      </c>
    </row>
    <row r="120" spans="2:16">
      <c r="B120" s="9" t="str">
        <f t="shared" si="20"/>
        <v/>
      </c>
      <c r="C120" s="157">
        <f>IF(D93="","-",+C119+1)</f>
        <v>2033</v>
      </c>
      <c r="D120" s="158">
        <f>IF(F119+SUM(E$99:E119)=D$92,F119,D$92-SUM(E$99:E119))</f>
        <v>1892953.1400000001</v>
      </c>
      <c r="E120" s="165">
        <f t="shared" si="21"/>
        <v>71865</v>
      </c>
      <c r="F120" s="163">
        <f t="shared" si="22"/>
        <v>1821088.1400000001</v>
      </c>
      <c r="G120" s="163">
        <f t="shared" si="23"/>
        <v>1857020.6400000001</v>
      </c>
      <c r="H120" s="167">
        <f t="shared" si="24"/>
        <v>307432.75066320732</v>
      </c>
      <c r="I120" s="317">
        <f t="shared" si="25"/>
        <v>307432.75066320732</v>
      </c>
      <c r="J120" s="162">
        <f t="shared" si="19"/>
        <v>0</v>
      </c>
      <c r="K120" s="162"/>
      <c r="L120" s="335"/>
      <c r="M120" s="162">
        <f t="shared" si="26"/>
        <v>0</v>
      </c>
      <c r="N120" s="335"/>
      <c r="O120" s="162">
        <f t="shared" si="27"/>
        <v>0</v>
      </c>
      <c r="P120" s="162">
        <f t="shared" si="28"/>
        <v>0</v>
      </c>
    </row>
    <row r="121" spans="2:16">
      <c r="B121" s="9" t="str">
        <f t="shared" si="20"/>
        <v/>
      </c>
      <c r="C121" s="157">
        <f>IF(D93="","-",+C120+1)</f>
        <v>2034</v>
      </c>
      <c r="D121" s="158">
        <f>IF(F120+SUM(E$99:E120)=D$92,F120,D$92-SUM(E$99:E120))</f>
        <v>1821088.1400000001</v>
      </c>
      <c r="E121" s="165">
        <f t="shared" si="21"/>
        <v>71865</v>
      </c>
      <c r="F121" s="163">
        <f t="shared" si="22"/>
        <v>1749223.1400000001</v>
      </c>
      <c r="G121" s="163">
        <f t="shared" si="23"/>
        <v>1785155.6400000001</v>
      </c>
      <c r="H121" s="167">
        <f t="shared" si="24"/>
        <v>298316.49420554546</v>
      </c>
      <c r="I121" s="317">
        <f t="shared" si="25"/>
        <v>298316.49420554546</v>
      </c>
      <c r="J121" s="162">
        <f t="shared" si="19"/>
        <v>0</v>
      </c>
      <c r="K121" s="162"/>
      <c r="L121" s="335"/>
      <c r="M121" s="162">
        <f t="shared" si="26"/>
        <v>0</v>
      </c>
      <c r="N121" s="335"/>
      <c r="O121" s="162">
        <f t="shared" si="27"/>
        <v>0</v>
      </c>
      <c r="P121" s="162">
        <f t="shared" si="28"/>
        <v>0</v>
      </c>
    </row>
    <row r="122" spans="2:16">
      <c r="B122" s="9" t="str">
        <f t="shared" si="20"/>
        <v/>
      </c>
      <c r="C122" s="157">
        <f>IF(D93="","-",+C121+1)</f>
        <v>2035</v>
      </c>
      <c r="D122" s="158">
        <f>IF(F121+SUM(E$99:E121)=D$92,F121,D$92-SUM(E$99:E121))</f>
        <v>1749223.1400000001</v>
      </c>
      <c r="E122" s="165">
        <f t="shared" si="21"/>
        <v>71865</v>
      </c>
      <c r="F122" s="163">
        <f t="shared" si="22"/>
        <v>1677358.1400000001</v>
      </c>
      <c r="G122" s="163">
        <f t="shared" si="23"/>
        <v>1713290.6400000001</v>
      </c>
      <c r="H122" s="167">
        <f t="shared" si="24"/>
        <v>289200.23774788354</v>
      </c>
      <c r="I122" s="317">
        <f t="shared" si="25"/>
        <v>289200.23774788354</v>
      </c>
      <c r="J122" s="162">
        <f t="shared" si="19"/>
        <v>0</v>
      </c>
      <c r="K122" s="162"/>
      <c r="L122" s="335"/>
      <c r="M122" s="162">
        <f t="shared" si="26"/>
        <v>0</v>
      </c>
      <c r="N122" s="335"/>
      <c r="O122" s="162">
        <f t="shared" si="27"/>
        <v>0</v>
      </c>
      <c r="P122" s="162">
        <f t="shared" si="28"/>
        <v>0</v>
      </c>
    </row>
    <row r="123" spans="2:16">
      <c r="B123" s="9" t="str">
        <f t="shared" si="20"/>
        <v/>
      </c>
      <c r="C123" s="157">
        <f>IF(D93="","-",+C122+1)</f>
        <v>2036</v>
      </c>
      <c r="D123" s="158">
        <f>IF(F122+SUM(E$99:E122)=D$92,F122,D$92-SUM(E$99:E122))</f>
        <v>1677358.1400000001</v>
      </c>
      <c r="E123" s="165">
        <f t="shared" si="21"/>
        <v>71865</v>
      </c>
      <c r="F123" s="163">
        <f t="shared" si="22"/>
        <v>1605493.1400000001</v>
      </c>
      <c r="G123" s="163">
        <f t="shared" si="23"/>
        <v>1641425.6400000001</v>
      </c>
      <c r="H123" s="167">
        <f t="shared" si="24"/>
        <v>280083.98129022168</v>
      </c>
      <c r="I123" s="317">
        <f t="shared" si="25"/>
        <v>280083.98129022168</v>
      </c>
      <c r="J123" s="162">
        <f t="shared" si="19"/>
        <v>0</v>
      </c>
      <c r="K123" s="162"/>
      <c r="L123" s="335"/>
      <c r="M123" s="162">
        <f t="shared" si="26"/>
        <v>0</v>
      </c>
      <c r="N123" s="335"/>
      <c r="O123" s="162">
        <f t="shared" si="27"/>
        <v>0</v>
      </c>
      <c r="P123" s="162">
        <f t="shared" si="28"/>
        <v>0</v>
      </c>
    </row>
    <row r="124" spans="2:16">
      <c r="B124" s="9" t="str">
        <f t="shared" si="20"/>
        <v/>
      </c>
      <c r="C124" s="157">
        <f>IF(D93="","-",+C123+1)</f>
        <v>2037</v>
      </c>
      <c r="D124" s="158">
        <f>IF(F123+SUM(E$99:E123)=D$92,F123,D$92-SUM(E$99:E123))</f>
        <v>1605493.1400000001</v>
      </c>
      <c r="E124" s="165">
        <f t="shared" si="21"/>
        <v>71865</v>
      </c>
      <c r="F124" s="163">
        <f t="shared" si="22"/>
        <v>1533628.1400000001</v>
      </c>
      <c r="G124" s="163">
        <f t="shared" si="23"/>
        <v>1569560.6400000001</v>
      </c>
      <c r="H124" s="167">
        <f t="shared" si="24"/>
        <v>270967.72483255982</v>
      </c>
      <c r="I124" s="317">
        <f t="shared" si="25"/>
        <v>270967.72483255982</v>
      </c>
      <c r="J124" s="162">
        <f t="shared" si="19"/>
        <v>0</v>
      </c>
      <c r="K124" s="162"/>
      <c r="L124" s="335"/>
      <c r="M124" s="162">
        <f t="shared" si="26"/>
        <v>0</v>
      </c>
      <c r="N124" s="335"/>
      <c r="O124" s="162">
        <f t="shared" si="27"/>
        <v>0</v>
      </c>
      <c r="P124" s="162">
        <f t="shared" si="28"/>
        <v>0</v>
      </c>
    </row>
    <row r="125" spans="2:16">
      <c r="B125" s="9" t="str">
        <f t="shared" si="20"/>
        <v/>
      </c>
      <c r="C125" s="157">
        <f>IF(D93="","-",+C124+1)</f>
        <v>2038</v>
      </c>
      <c r="D125" s="158">
        <f>IF(F124+SUM(E$99:E124)=D$92,F124,D$92-SUM(E$99:E124))</f>
        <v>1533628.1400000001</v>
      </c>
      <c r="E125" s="165">
        <f t="shared" si="21"/>
        <v>71865</v>
      </c>
      <c r="F125" s="163">
        <f t="shared" si="22"/>
        <v>1461763.1400000001</v>
      </c>
      <c r="G125" s="163">
        <f t="shared" si="23"/>
        <v>1497695.6400000001</v>
      </c>
      <c r="H125" s="167">
        <f t="shared" si="24"/>
        <v>261851.46837489793</v>
      </c>
      <c r="I125" s="317">
        <f t="shared" si="25"/>
        <v>261851.46837489793</v>
      </c>
      <c r="J125" s="162">
        <f t="shared" si="19"/>
        <v>0</v>
      </c>
      <c r="K125" s="162"/>
      <c r="L125" s="335"/>
      <c r="M125" s="162">
        <f t="shared" si="26"/>
        <v>0</v>
      </c>
      <c r="N125" s="335"/>
      <c r="O125" s="162">
        <f t="shared" si="27"/>
        <v>0</v>
      </c>
      <c r="P125" s="162">
        <f t="shared" si="28"/>
        <v>0</v>
      </c>
    </row>
    <row r="126" spans="2:16">
      <c r="B126" s="9" t="str">
        <f t="shared" si="20"/>
        <v/>
      </c>
      <c r="C126" s="157">
        <f>IF(D93="","-",+C125+1)</f>
        <v>2039</v>
      </c>
      <c r="D126" s="158">
        <f>IF(F125+SUM(E$99:E125)=D$92,F125,D$92-SUM(E$99:E125))</f>
        <v>1461763.1400000001</v>
      </c>
      <c r="E126" s="165">
        <f t="shared" si="21"/>
        <v>71865</v>
      </c>
      <c r="F126" s="163">
        <f t="shared" si="22"/>
        <v>1389898.1400000001</v>
      </c>
      <c r="G126" s="163">
        <f t="shared" si="23"/>
        <v>1425830.6400000001</v>
      </c>
      <c r="H126" s="167">
        <f t="shared" si="24"/>
        <v>252735.21191723607</v>
      </c>
      <c r="I126" s="317">
        <f t="shared" si="25"/>
        <v>252735.21191723607</v>
      </c>
      <c r="J126" s="162">
        <f t="shared" si="19"/>
        <v>0</v>
      </c>
      <c r="K126" s="162"/>
      <c r="L126" s="335"/>
      <c r="M126" s="162">
        <f t="shared" si="26"/>
        <v>0</v>
      </c>
      <c r="N126" s="335"/>
      <c r="O126" s="162">
        <f t="shared" si="27"/>
        <v>0</v>
      </c>
      <c r="P126" s="162">
        <f t="shared" si="28"/>
        <v>0</v>
      </c>
    </row>
    <row r="127" spans="2:16">
      <c r="B127" s="9" t="str">
        <f t="shared" si="20"/>
        <v/>
      </c>
      <c r="C127" s="157">
        <f>IF(D93="","-",+C126+1)</f>
        <v>2040</v>
      </c>
      <c r="D127" s="158">
        <f>IF(F126+SUM(E$99:E126)=D$92,F126,D$92-SUM(E$99:E126))</f>
        <v>1389898.1400000001</v>
      </c>
      <c r="E127" s="165">
        <f t="shared" si="21"/>
        <v>71865</v>
      </c>
      <c r="F127" s="163">
        <f t="shared" si="22"/>
        <v>1318033.1400000001</v>
      </c>
      <c r="G127" s="163">
        <f t="shared" si="23"/>
        <v>1353965.6400000001</v>
      </c>
      <c r="H127" s="167">
        <f t="shared" si="24"/>
        <v>243618.95545957418</v>
      </c>
      <c r="I127" s="317">
        <f t="shared" si="25"/>
        <v>243618.95545957418</v>
      </c>
      <c r="J127" s="162">
        <f t="shared" si="19"/>
        <v>0</v>
      </c>
      <c r="K127" s="162"/>
      <c r="L127" s="335"/>
      <c r="M127" s="162">
        <f t="shared" si="26"/>
        <v>0</v>
      </c>
      <c r="N127" s="335"/>
      <c r="O127" s="162">
        <f t="shared" si="27"/>
        <v>0</v>
      </c>
      <c r="P127" s="162">
        <f t="shared" si="28"/>
        <v>0</v>
      </c>
    </row>
    <row r="128" spans="2:16">
      <c r="B128" s="9" t="str">
        <f t="shared" si="20"/>
        <v/>
      </c>
      <c r="C128" s="157">
        <f>IF(D93="","-",+C127+1)</f>
        <v>2041</v>
      </c>
      <c r="D128" s="158">
        <f>IF(F127+SUM(E$99:E127)=D$92,F127,D$92-SUM(E$99:E127))</f>
        <v>1318033.1400000001</v>
      </c>
      <c r="E128" s="165">
        <f t="shared" si="21"/>
        <v>71865</v>
      </c>
      <c r="F128" s="163">
        <f t="shared" si="22"/>
        <v>1246168.1400000001</v>
      </c>
      <c r="G128" s="163">
        <f t="shared" si="23"/>
        <v>1282100.6400000001</v>
      </c>
      <c r="H128" s="167">
        <f t="shared" si="24"/>
        <v>234502.69900191232</v>
      </c>
      <c r="I128" s="317">
        <f t="shared" si="25"/>
        <v>234502.69900191232</v>
      </c>
      <c r="J128" s="162">
        <f t="shared" si="19"/>
        <v>0</v>
      </c>
      <c r="K128" s="162"/>
      <c r="L128" s="335"/>
      <c r="M128" s="162">
        <f t="shared" si="26"/>
        <v>0</v>
      </c>
      <c r="N128" s="335"/>
      <c r="O128" s="162">
        <f t="shared" si="27"/>
        <v>0</v>
      </c>
      <c r="P128" s="162">
        <f t="shared" si="28"/>
        <v>0</v>
      </c>
    </row>
    <row r="129" spans="2:16">
      <c r="B129" s="9" t="str">
        <f t="shared" si="20"/>
        <v/>
      </c>
      <c r="C129" s="157">
        <f>IF(D93="","-",+C128+1)</f>
        <v>2042</v>
      </c>
      <c r="D129" s="158">
        <f>IF(F128+SUM(E$99:E128)=D$92,F128,D$92-SUM(E$99:E128))</f>
        <v>1246168.1400000001</v>
      </c>
      <c r="E129" s="165">
        <f t="shared" si="21"/>
        <v>71865</v>
      </c>
      <c r="F129" s="163">
        <f t="shared" si="22"/>
        <v>1174303.1400000001</v>
      </c>
      <c r="G129" s="163">
        <f t="shared" si="23"/>
        <v>1210235.6400000001</v>
      </c>
      <c r="H129" s="167">
        <f t="shared" si="24"/>
        <v>225386.44254425043</v>
      </c>
      <c r="I129" s="317">
        <f t="shared" si="25"/>
        <v>225386.44254425043</v>
      </c>
      <c r="J129" s="162">
        <f t="shared" si="19"/>
        <v>0</v>
      </c>
      <c r="K129" s="162"/>
      <c r="L129" s="335"/>
      <c r="M129" s="162">
        <f t="shared" si="26"/>
        <v>0</v>
      </c>
      <c r="N129" s="335"/>
      <c r="O129" s="162">
        <f t="shared" si="27"/>
        <v>0</v>
      </c>
      <c r="P129" s="162">
        <f t="shared" si="28"/>
        <v>0</v>
      </c>
    </row>
    <row r="130" spans="2:16">
      <c r="B130" s="9" t="str">
        <f t="shared" si="20"/>
        <v/>
      </c>
      <c r="C130" s="157">
        <f>IF(D93="","-",+C129+1)</f>
        <v>2043</v>
      </c>
      <c r="D130" s="158">
        <f>IF(F129+SUM(E$99:E129)=D$92,F129,D$92-SUM(E$99:E129))</f>
        <v>1174303.1400000001</v>
      </c>
      <c r="E130" s="165">
        <f t="shared" si="21"/>
        <v>71865</v>
      </c>
      <c r="F130" s="163">
        <f t="shared" si="22"/>
        <v>1102438.1400000001</v>
      </c>
      <c r="G130" s="163">
        <f t="shared" si="23"/>
        <v>1138370.6400000001</v>
      </c>
      <c r="H130" s="167">
        <f t="shared" si="24"/>
        <v>216270.18608658854</v>
      </c>
      <c r="I130" s="317">
        <f t="shared" si="25"/>
        <v>216270.18608658854</v>
      </c>
      <c r="J130" s="162">
        <f t="shared" si="19"/>
        <v>0</v>
      </c>
      <c r="K130" s="162"/>
      <c r="L130" s="335"/>
      <c r="M130" s="162">
        <f t="shared" si="26"/>
        <v>0</v>
      </c>
      <c r="N130" s="335"/>
      <c r="O130" s="162">
        <f t="shared" si="27"/>
        <v>0</v>
      </c>
      <c r="P130" s="162">
        <f t="shared" si="28"/>
        <v>0</v>
      </c>
    </row>
    <row r="131" spans="2:16">
      <c r="B131" s="9" t="str">
        <f t="shared" si="20"/>
        <v/>
      </c>
      <c r="C131" s="157">
        <f>IF(D93="","-",+C130+1)</f>
        <v>2044</v>
      </c>
      <c r="D131" s="158">
        <f>IF(F130+SUM(E$99:E130)=D$92,F130,D$92-SUM(E$99:E130))</f>
        <v>1102438.1400000001</v>
      </c>
      <c r="E131" s="165">
        <f t="shared" si="21"/>
        <v>71865</v>
      </c>
      <c r="F131" s="163">
        <f t="shared" si="22"/>
        <v>1030573.1400000001</v>
      </c>
      <c r="G131" s="163">
        <f t="shared" si="23"/>
        <v>1066505.6400000001</v>
      </c>
      <c r="H131" s="167">
        <f t="shared" ref="H131:H154" si="29">+J$94*G131+E131</f>
        <v>207153.92962892668</v>
      </c>
      <c r="I131" s="317">
        <f t="shared" ref="I131:I154" si="30">+J$95*G131+E131</f>
        <v>207153.92962892668</v>
      </c>
      <c r="J131" s="162">
        <f t="shared" ref="J131:J154" si="31">+I541-H541</f>
        <v>0</v>
      </c>
      <c r="K131" s="162"/>
      <c r="L131" s="335"/>
      <c r="M131" s="162">
        <f t="shared" ref="M131:M154" si="32">IF(L541&lt;&gt;0,+H541-L541,0)</f>
        <v>0</v>
      </c>
      <c r="N131" s="335"/>
      <c r="O131" s="162">
        <f t="shared" ref="O131:O154" si="33">IF(N541&lt;&gt;0,+I541-N541,0)</f>
        <v>0</v>
      </c>
      <c r="P131" s="162">
        <f t="shared" ref="P131:P154" si="34">+O541-M541</f>
        <v>0</v>
      </c>
    </row>
    <row r="132" spans="2:16">
      <c r="B132" s="9" t="str">
        <f t="shared" ref="B132:B154" si="35">IF(D132=F131,"","IU")</f>
        <v/>
      </c>
      <c r="C132" s="157">
        <f>IF(D93="","-",+C131+1)</f>
        <v>2045</v>
      </c>
      <c r="D132" s="158">
        <f>IF(F131+SUM(E$99:E131)=D$92,F131,D$92-SUM(E$99:E131))</f>
        <v>1030573.1400000001</v>
      </c>
      <c r="E132" s="165">
        <f t="shared" si="21"/>
        <v>71865</v>
      </c>
      <c r="F132" s="163">
        <f t="shared" si="22"/>
        <v>958708.14000000013</v>
      </c>
      <c r="G132" s="163">
        <f t="shared" si="23"/>
        <v>994640.64000000013</v>
      </c>
      <c r="H132" s="167">
        <f t="shared" si="29"/>
        <v>198037.67317126482</v>
      </c>
      <c r="I132" s="317">
        <f t="shared" si="30"/>
        <v>198037.67317126482</v>
      </c>
      <c r="J132" s="162">
        <f t="shared" si="31"/>
        <v>0</v>
      </c>
      <c r="K132" s="162"/>
      <c r="L132" s="335"/>
      <c r="M132" s="162">
        <f t="shared" si="32"/>
        <v>0</v>
      </c>
      <c r="N132" s="335"/>
      <c r="O132" s="162">
        <f t="shared" si="33"/>
        <v>0</v>
      </c>
      <c r="P132" s="162">
        <f t="shared" si="34"/>
        <v>0</v>
      </c>
    </row>
    <row r="133" spans="2:16">
      <c r="B133" s="9" t="str">
        <f t="shared" si="35"/>
        <v/>
      </c>
      <c r="C133" s="157">
        <f>IF(D93="","-",+C132+1)</f>
        <v>2046</v>
      </c>
      <c r="D133" s="158">
        <f>IF(F132+SUM(E$99:E132)=D$92,F132,D$92-SUM(E$99:E132))</f>
        <v>958708.14000000013</v>
      </c>
      <c r="E133" s="165">
        <f t="shared" si="21"/>
        <v>71865</v>
      </c>
      <c r="F133" s="163">
        <f t="shared" si="22"/>
        <v>886843.14000000013</v>
      </c>
      <c r="G133" s="163">
        <f t="shared" si="23"/>
        <v>922775.64000000013</v>
      </c>
      <c r="H133" s="167">
        <f t="shared" si="29"/>
        <v>188921.4167136029</v>
      </c>
      <c r="I133" s="317">
        <f t="shared" si="30"/>
        <v>188921.4167136029</v>
      </c>
      <c r="J133" s="162">
        <f t="shared" si="31"/>
        <v>0</v>
      </c>
      <c r="K133" s="162"/>
      <c r="L133" s="335"/>
      <c r="M133" s="162">
        <f t="shared" si="32"/>
        <v>0</v>
      </c>
      <c r="N133" s="335"/>
      <c r="O133" s="162">
        <f t="shared" si="33"/>
        <v>0</v>
      </c>
      <c r="P133" s="162">
        <f t="shared" si="34"/>
        <v>0</v>
      </c>
    </row>
    <row r="134" spans="2:16">
      <c r="B134" s="9" t="str">
        <f t="shared" si="35"/>
        <v/>
      </c>
      <c r="C134" s="157">
        <f>IF(D93="","-",+C133+1)</f>
        <v>2047</v>
      </c>
      <c r="D134" s="158">
        <f>IF(F133+SUM(E$99:E133)=D$92,F133,D$92-SUM(E$99:E133))</f>
        <v>886843.14000000013</v>
      </c>
      <c r="E134" s="165">
        <f t="shared" si="21"/>
        <v>71865</v>
      </c>
      <c r="F134" s="163">
        <f t="shared" si="22"/>
        <v>814978.14000000013</v>
      </c>
      <c r="G134" s="163">
        <f t="shared" si="23"/>
        <v>850910.64000000013</v>
      </c>
      <c r="H134" s="167">
        <f t="shared" si="29"/>
        <v>179805.16025594104</v>
      </c>
      <c r="I134" s="317">
        <f t="shared" si="30"/>
        <v>179805.16025594104</v>
      </c>
      <c r="J134" s="162">
        <f t="shared" si="31"/>
        <v>0</v>
      </c>
      <c r="K134" s="162"/>
      <c r="L134" s="335"/>
      <c r="M134" s="162">
        <f t="shared" si="32"/>
        <v>0</v>
      </c>
      <c r="N134" s="335"/>
      <c r="O134" s="162">
        <f t="shared" si="33"/>
        <v>0</v>
      </c>
      <c r="P134" s="162">
        <f t="shared" si="34"/>
        <v>0</v>
      </c>
    </row>
    <row r="135" spans="2:16">
      <c r="B135" s="9" t="str">
        <f t="shared" si="35"/>
        <v/>
      </c>
      <c r="C135" s="157">
        <f>IF(D93="","-",+C134+1)</f>
        <v>2048</v>
      </c>
      <c r="D135" s="158">
        <f>IF(F134+SUM(E$99:E134)=D$92,F134,D$92-SUM(E$99:E134))</f>
        <v>814978.14000000013</v>
      </c>
      <c r="E135" s="165">
        <f t="shared" si="21"/>
        <v>71865</v>
      </c>
      <c r="F135" s="163">
        <f t="shared" si="22"/>
        <v>743113.14000000013</v>
      </c>
      <c r="G135" s="163">
        <f t="shared" si="23"/>
        <v>779045.64000000013</v>
      </c>
      <c r="H135" s="167">
        <f t="shared" si="29"/>
        <v>170688.90379827918</v>
      </c>
      <c r="I135" s="317">
        <f t="shared" si="30"/>
        <v>170688.90379827918</v>
      </c>
      <c r="J135" s="162">
        <f t="shared" si="31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4"/>
        <v>0</v>
      </c>
    </row>
    <row r="136" spans="2:16">
      <c r="B136" s="9" t="str">
        <f t="shared" si="35"/>
        <v/>
      </c>
      <c r="C136" s="157">
        <f>IF(D93="","-",+C135+1)</f>
        <v>2049</v>
      </c>
      <c r="D136" s="158">
        <f>IF(F135+SUM(E$99:E135)=D$92,F135,D$92-SUM(E$99:E135))</f>
        <v>743113.14000000013</v>
      </c>
      <c r="E136" s="165">
        <f t="shared" si="21"/>
        <v>71865</v>
      </c>
      <c r="F136" s="163">
        <f t="shared" si="22"/>
        <v>671248.14000000013</v>
      </c>
      <c r="G136" s="163">
        <f t="shared" si="23"/>
        <v>707180.64000000013</v>
      </c>
      <c r="H136" s="167">
        <f t="shared" si="29"/>
        <v>161572.64734061729</v>
      </c>
      <c r="I136" s="317">
        <f t="shared" si="30"/>
        <v>161572.64734061729</v>
      </c>
      <c r="J136" s="162">
        <f t="shared" si="31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4"/>
        <v>0</v>
      </c>
    </row>
    <row r="137" spans="2:16">
      <c r="B137" s="9" t="str">
        <f t="shared" si="35"/>
        <v/>
      </c>
      <c r="C137" s="157">
        <f>IF(D93="","-",+C136+1)</f>
        <v>2050</v>
      </c>
      <c r="D137" s="158">
        <f>IF(F136+SUM(E$99:E136)=D$92,F136,D$92-SUM(E$99:E136))</f>
        <v>671248.14000000013</v>
      </c>
      <c r="E137" s="165">
        <f t="shared" si="21"/>
        <v>71865</v>
      </c>
      <c r="F137" s="163">
        <f t="shared" si="22"/>
        <v>599383.14000000013</v>
      </c>
      <c r="G137" s="163">
        <f t="shared" si="23"/>
        <v>635315.64000000013</v>
      </c>
      <c r="H137" s="167">
        <f t="shared" si="29"/>
        <v>152456.3908829554</v>
      </c>
      <c r="I137" s="317">
        <f t="shared" si="30"/>
        <v>152456.3908829554</v>
      </c>
      <c r="J137" s="162">
        <f t="shared" si="31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4"/>
        <v>0</v>
      </c>
    </row>
    <row r="138" spans="2:16">
      <c r="B138" s="9" t="str">
        <f t="shared" si="35"/>
        <v/>
      </c>
      <c r="C138" s="157">
        <f>IF(D93="","-",+C137+1)</f>
        <v>2051</v>
      </c>
      <c r="D138" s="158">
        <f>IF(F137+SUM(E$99:E137)=D$92,F137,D$92-SUM(E$99:E137))</f>
        <v>599383.14000000013</v>
      </c>
      <c r="E138" s="165">
        <f t="shared" si="21"/>
        <v>71865</v>
      </c>
      <c r="F138" s="163">
        <f t="shared" si="22"/>
        <v>527518.14000000013</v>
      </c>
      <c r="G138" s="163">
        <f t="shared" si="23"/>
        <v>563450.64000000013</v>
      </c>
      <c r="H138" s="167">
        <f t="shared" si="29"/>
        <v>143340.13442529354</v>
      </c>
      <c r="I138" s="317">
        <f t="shared" si="30"/>
        <v>143340.13442529354</v>
      </c>
      <c r="J138" s="162">
        <f t="shared" si="31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4"/>
        <v>0</v>
      </c>
    </row>
    <row r="139" spans="2:16">
      <c r="B139" s="9" t="str">
        <f t="shared" si="35"/>
        <v/>
      </c>
      <c r="C139" s="157">
        <f>IF(D93="","-",+C138+1)</f>
        <v>2052</v>
      </c>
      <c r="D139" s="158">
        <f>IF(F138+SUM(E$99:E138)=D$92,F138,D$92-SUM(E$99:E138))</f>
        <v>527518.14000000013</v>
      </c>
      <c r="E139" s="165">
        <f t="shared" si="21"/>
        <v>71865</v>
      </c>
      <c r="F139" s="163">
        <f t="shared" si="22"/>
        <v>455653.14000000013</v>
      </c>
      <c r="G139" s="163">
        <f t="shared" si="23"/>
        <v>491585.64000000013</v>
      </c>
      <c r="H139" s="167">
        <f t="shared" si="29"/>
        <v>134223.87796763165</v>
      </c>
      <c r="I139" s="317">
        <f t="shared" si="30"/>
        <v>134223.87796763165</v>
      </c>
      <c r="J139" s="162">
        <f t="shared" si="31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4"/>
        <v>0</v>
      </c>
    </row>
    <row r="140" spans="2:16">
      <c r="B140" s="9" t="str">
        <f t="shared" si="35"/>
        <v/>
      </c>
      <c r="C140" s="157">
        <f>IF(D93="","-",+C139+1)</f>
        <v>2053</v>
      </c>
      <c r="D140" s="158">
        <f>IF(F139+SUM(E$99:E139)=D$92,F139,D$92-SUM(E$99:E139))</f>
        <v>455653.14000000013</v>
      </c>
      <c r="E140" s="165">
        <f t="shared" si="21"/>
        <v>71865</v>
      </c>
      <c r="F140" s="163">
        <f t="shared" si="22"/>
        <v>383788.14000000013</v>
      </c>
      <c r="G140" s="163">
        <f t="shared" si="23"/>
        <v>419720.64000000013</v>
      </c>
      <c r="H140" s="167">
        <f t="shared" si="29"/>
        <v>125107.62150996977</v>
      </c>
      <c r="I140" s="317">
        <f t="shared" si="30"/>
        <v>125107.62150996977</v>
      </c>
      <c r="J140" s="162">
        <f t="shared" si="31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4"/>
        <v>0</v>
      </c>
    </row>
    <row r="141" spans="2:16">
      <c r="B141" s="9" t="str">
        <f t="shared" si="35"/>
        <v/>
      </c>
      <c r="C141" s="157">
        <f>IF(D93="","-",+C140+1)</f>
        <v>2054</v>
      </c>
      <c r="D141" s="158">
        <f>IF(F140+SUM(E$99:E140)=D$92,F140,D$92-SUM(E$99:E140))</f>
        <v>383788.14000000013</v>
      </c>
      <c r="E141" s="165">
        <f t="shared" si="21"/>
        <v>71865</v>
      </c>
      <c r="F141" s="163">
        <f t="shared" si="22"/>
        <v>311923.14000000013</v>
      </c>
      <c r="G141" s="163">
        <f t="shared" si="23"/>
        <v>347855.64000000013</v>
      </c>
      <c r="H141" s="167">
        <f t="shared" si="29"/>
        <v>115991.3650523079</v>
      </c>
      <c r="I141" s="317">
        <f t="shared" si="30"/>
        <v>115991.3650523079</v>
      </c>
      <c r="J141" s="162">
        <f t="shared" si="31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4"/>
        <v>0</v>
      </c>
    </row>
    <row r="142" spans="2:16">
      <c r="B142" s="9" t="str">
        <f t="shared" si="35"/>
        <v/>
      </c>
      <c r="C142" s="157">
        <f>IF(D93="","-",+C141+1)</f>
        <v>2055</v>
      </c>
      <c r="D142" s="158">
        <f>IF(F141+SUM(E$99:E141)=D$92,F141,D$92-SUM(E$99:E141))</f>
        <v>311923.14000000013</v>
      </c>
      <c r="E142" s="165">
        <f t="shared" si="21"/>
        <v>71865</v>
      </c>
      <c r="F142" s="163">
        <f t="shared" si="22"/>
        <v>240058.14000000013</v>
      </c>
      <c r="G142" s="163">
        <f t="shared" si="23"/>
        <v>275990.64000000013</v>
      </c>
      <c r="H142" s="167">
        <f t="shared" si="29"/>
        <v>106875.10859464601</v>
      </c>
      <c r="I142" s="317">
        <f t="shared" si="30"/>
        <v>106875.10859464601</v>
      </c>
      <c r="J142" s="162">
        <f t="shared" si="31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4"/>
        <v>0</v>
      </c>
    </row>
    <row r="143" spans="2:16">
      <c r="B143" s="9" t="str">
        <f t="shared" si="35"/>
        <v/>
      </c>
      <c r="C143" s="157">
        <f>IF(D93="","-",+C142+1)</f>
        <v>2056</v>
      </c>
      <c r="D143" s="158">
        <f>IF(F142+SUM(E$99:E142)=D$92,F142,D$92-SUM(E$99:E142))</f>
        <v>240058.14000000013</v>
      </c>
      <c r="E143" s="165">
        <f t="shared" si="21"/>
        <v>71865</v>
      </c>
      <c r="F143" s="163">
        <f t="shared" si="22"/>
        <v>168193.14000000013</v>
      </c>
      <c r="G143" s="163">
        <f t="shared" si="23"/>
        <v>204125.64000000013</v>
      </c>
      <c r="H143" s="167">
        <f t="shared" si="29"/>
        <v>97758.852136984133</v>
      </c>
      <c r="I143" s="317">
        <f t="shared" si="30"/>
        <v>97758.852136984133</v>
      </c>
      <c r="J143" s="162">
        <f t="shared" si="31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4"/>
        <v>0</v>
      </c>
    </row>
    <row r="144" spans="2:16">
      <c r="B144" s="9" t="str">
        <f t="shared" si="35"/>
        <v/>
      </c>
      <c r="C144" s="157">
        <f>IF(D93="","-",+C143+1)</f>
        <v>2057</v>
      </c>
      <c r="D144" s="158">
        <f>IF(F143+SUM(E$99:E143)=D$92,F143,D$92-SUM(E$99:E143))</f>
        <v>168193.14000000013</v>
      </c>
      <c r="E144" s="165">
        <f t="shared" si="21"/>
        <v>71865</v>
      </c>
      <c r="F144" s="163">
        <f t="shared" si="22"/>
        <v>96328.14000000013</v>
      </c>
      <c r="G144" s="163">
        <f t="shared" si="23"/>
        <v>132260.64000000013</v>
      </c>
      <c r="H144" s="167">
        <f t="shared" si="29"/>
        <v>88642.595679322258</v>
      </c>
      <c r="I144" s="317">
        <f t="shared" si="30"/>
        <v>88642.595679322258</v>
      </c>
      <c r="J144" s="162">
        <f t="shared" si="31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4"/>
        <v>0</v>
      </c>
    </row>
    <row r="145" spans="2:16">
      <c r="B145" s="9" t="str">
        <f t="shared" si="35"/>
        <v/>
      </c>
      <c r="C145" s="157">
        <f>IF(D93="","-",+C144+1)</f>
        <v>2058</v>
      </c>
      <c r="D145" s="158">
        <f>IF(F144+SUM(E$99:E144)=D$92,F144,D$92-SUM(E$99:E144))</f>
        <v>96328.14000000013</v>
      </c>
      <c r="E145" s="165">
        <f t="shared" si="21"/>
        <v>71865</v>
      </c>
      <c r="F145" s="163">
        <f t="shared" si="22"/>
        <v>24463.14000000013</v>
      </c>
      <c r="G145" s="163">
        <f t="shared" si="23"/>
        <v>60395.64000000013</v>
      </c>
      <c r="H145" s="167">
        <f t="shared" si="29"/>
        <v>79526.339221660382</v>
      </c>
      <c r="I145" s="317">
        <f t="shared" si="30"/>
        <v>79526.339221660382</v>
      </c>
      <c r="J145" s="162">
        <f t="shared" si="31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4"/>
        <v>0</v>
      </c>
    </row>
    <row r="146" spans="2:16">
      <c r="B146" s="9" t="str">
        <f t="shared" si="35"/>
        <v/>
      </c>
      <c r="C146" s="157">
        <f>IF(D93="","-",+C145+1)</f>
        <v>2059</v>
      </c>
      <c r="D146" s="158">
        <f>IF(F145+SUM(E$99:E145)=D$92,F145,D$92-SUM(E$99:E145))</f>
        <v>24463.14000000013</v>
      </c>
      <c r="E146" s="165">
        <f t="shared" si="21"/>
        <v>24463.14000000013</v>
      </c>
      <c r="F146" s="163">
        <f t="shared" si="22"/>
        <v>0</v>
      </c>
      <c r="G146" s="163">
        <f t="shared" si="23"/>
        <v>12231.570000000065</v>
      </c>
      <c r="H146" s="167">
        <f t="shared" si="29"/>
        <v>26014.745496414849</v>
      </c>
      <c r="I146" s="317">
        <f t="shared" si="30"/>
        <v>26014.745496414849</v>
      </c>
      <c r="J146" s="162">
        <f t="shared" si="31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4"/>
        <v>0</v>
      </c>
    </row>
    <row r="147" spans="2:16">
      <c r="B147" s="9" t="str">
        <f t="shared" si="35"/>
        <v/>
      </c>
      <c r="C147" s="157">
        <f>IF(D93="","-",+C146+1)</f>
        <v>2060</v>
      </c>
      <c r="D147" s="158">
        <f>IF(F146+SUM(E$99:E146)=D$92,F146,D$92-SUM(E$99:E146))</f>
        <v>0</v>
      </c>
      <c r="E147" s="165">
        <f t="shared" si="21"/>
        <v>0</v>
      </c>
      <c r="F147" s="163">
        <f t="shared" si="22"/>
        <v>0</v>
      </c>
      <c r="G147" s="163">
        <f t="shared" si="23"/>
        <v>0</v>
      </c>
      <c r="H147" s="167">
        <f t="shared" si="29"/>
        <v>0</v>
      </c>
      <c r="I147" s="317">
        <f t="shared" si="30"/>
        <v>0</v>
      </c>
      <c r="J147" s="162">
        <f t="shared" si="31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4"/>
        <v>0</v>
      </c>
    </row>
    <row r="148" spans="2:16">
      <c r="B148" s="9" t="str">
        <f t="shared" si="35"/>
        <v/>
      </c>
      <c r="C148" s="157">
        <f>IF(D93="","-",+C147+1)</f>
        <v>2061</v>
      </c>
      <c r="D148" s="158">
        <f>IF(F147+SUM(E$99:E147)=D$92,F147,D$92-SUM(E$99:E147))</f>
        <v>0</v>
      </c>
      <c r="E148" s="165">
        <f t="shared" si="21"/>
        <v>0</v>
      </c>
      <c r="F148" s="163">
        <f t="shared" si="22"/>
        <v>0</v>
      </c>
      <c r="G148" s="163">
        <f t="shared" si="23"/>
        <v>0</v>
      </c>
      <c r="H148" s="167">
        <f t="shared" si="29"/>
        <v>0</v>
      </c>
      <c r="I148" s="317">
        <f t="shared" si="30"/>
        <v>0</v>
      </c>
      <c r="J148" s="162">
        <f t="shared" si="31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4"/>
        <v>0</v>
      </c>
    </row>
    <row r="149" spans="2:16">
      <c r="B149" s="9" t="str">
        <f t="shared" si="35"/>
        <v/>
      </c>
      <c r="C149" s="157">
        <f>IF(D93="","-",+C148+1)</f>
        <v>2062</v>
      </c>
      <c r="D149" s="158">
        <f>IF(F148+SUM(E$99:E148)=D$92,F148,D$92-SUM(E$99:E148))</f>
        <v>0</v>
      </c>
      <c r="E149" s="165">
        <f t="shared" si="21"/>
        <v>0</v>
      </c>
      <c r="F149" s="163">
        <f t="shared" si="22"/>
        <v>0</v>
      </c>
      <c r="G149" s="163">
        <f t="shared" si="23"/>
        <v>0</v>
      </c>
      <c r="H149" s="167">
        <f t="shared" si="29"/>
        <v>0</v>
      </c>
      <c r="I149" s="317">
        <f t="shared" si="30"/>
        <v>0</v>
      </c>
      <c r="J149" s="162">
        <f t="shared" si="31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4"/>
        <v>0</v>
      </c>
    </row>
    <row r="150" spans="2:16">
      <c r="B150" s="9" t="str">
        <f t="shared" si="35"/>
        <v/>
      </c>
      <c r="C150" s="157">
        <f>IF(D93="","-",+C149+1)</f>
        <v>2063</v>
      </c>
      <c r="D150" s="158">
        <f>IF(F149+SUM(E$99:E149)=D$92,F149,D$92-SUM(E$99:E149))</f>
        <v>0</v>
      </c>
      <c r="E150" s="165">
        <f t="shared" si="21"/>
        <v>0</v>
      </c>
      <c r="F150" s="163">
        <f t="shared" si="22"/>
        <v>0</v>
      </c>
      <c r="G150" s="163">
        <f t="shared" si="23"/>
        <v>0</v>
      </c>
      <c r="H150" s="167">
        <f t="shared" si="29"/>
        <v>0</v>
      </c>
      <c r="I150" s="317">
        <f t="shared" si="30"/>
        <v>0</v>
      </c>
      <c r="J150" s="162">
        <f t="shared" si="31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4"/>
        <v>0</v>
      </c>
    </row>
    <row r="151" spans="2:16">
      <c r="B151" s="9" t="str">
        <f t="shared" si="35"/>
        <v/>
      </c>
      <c r="C151" s="157">
        <f>IF(D93="","-",+C150+1)</f>
        <v>2064</v>
      </c>
      <c r="D151" s="158">
        <f>IF(F150+SUM(E$99:E150)=D$92,F150,D$92-SUM(E$99:E150))</f>
        <v>0</v>
      </c>
      <c r="E151" s="165">
        <f t="shared" si="21"/>
        <v>0</v>
      </c>
      <c r="F151" s="163">
        <f t="shared" si="22"/>
        <v>0</v>
      </c>
      <c r="G151" s="163">
        <f t="shared" si="23"/>
        <v>0</v>
      </c>
      <c r="H151" s="167">
        <f t="shared" si="29"/>
        <v>0</v>
      </c>
      <c r="I151" s="317">
        <f t="shared" si="30"/>
        <v>0</v>
      </c>
      <c r="J151" s="162">
        <f t="shared" si="31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4"/>
        <v>0</v>
      </c>
    </row>
    <row r="152" spans="2:16">
      <c r="B152" s="9" t="str">
        <f t="shared" si="35"/>
        <v/>
      </c>
      <c r="C152" s="157">
        <f>IF(D93="","-",+C151+1)</f>
        <v>2065</v>
      </c>
      <c r="D152" s="158">
        <f>IF(F151+SUM(E$99:E151)=D$92,F151,D$92-SUM(E$99:E151))</f>
        <v>0</v>
      </c>
      <c r="E152" s="165">
        <f t="shared" si="21"/>
        <v>0</v>
      </c>
      <c r="F152" s="163">
        <f t="shared" si="22"/>
        <v>0</v>
      </c>
      <c r="G152" s="163">
        <f t="shared" si="23"/>
        <v>0</v>
      </c>
      <c r="H152" s="167">
        <f t="shared" si="29"/>
        <v>0</v>
      </c>
      <c r="I152" s="317">
        <f t="shared" si="30"/>
        <v>0</v>
      </c>
      <c r="J152" s="162">
        <f t="shared" si="31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4"/>
        <v>0</v>
      </c>
    </row>
    <row r="153" spans="2:16">
      <c r="B153" s="9" t="str">
        <f t="shared" si="35"/>
        <v/>
      </c>
      <c r="C153" s="157">
        <f>IF(D93="","-",+C152+1)</f>
        <v>2066</v>
      </c>
      <c r="D153" s="158">
        <f>IF(F152+SUM(E$99:E152)=D$92,F152,D$92-SUM(E$99:E152))</f>
        <v>0</v>
      </c>
      <c r="E153" s="165">
        <f t="shared" si="21"/>
        <v>0</v>
      </c>
      <c r="F153" s="163">
        <f t="shared" si="22"/>
        <v>0</v>
      </c>
      <c r="G153" s="163">
        <f t="shared" si="23"/>
        <v>0</v>
      </c>
      <c r="H153" s="167">
        <f t="shared" si="29"/>
        <v>0</v>
      </c>
      <c r="I153" s="317">
        <f t="shared" si="30"/>
        <v>0</v>
      </c>
      <c r="J153" s="162">
        <f t="shared" si="31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4"/>
        <v>0</v>
      </c>
    </row>
    <row r="154" spans="2:16" ht="13.5" thickBot="1">
      <c r="B154" s="9" t="str">
        <f t="shared" si="35"/>
        <v/>
      </c>
      <c r="C154" s="168">
        <f>IF(D93="","-",+C153+1)</f>
        <v>2067</v>
      </c>
      <c r="D154" s="219">
        <f>IF(F153+SUM(E$99:E153)=D$92,F153,D$92-SUM(E$99:E153))</f>
        <v>0</v>
      </c>
      <c r="E154" s="377">
        <f t="shared" si="21"/>
        <v>0</v>
      </c>
      <c r="F154" s="169">
        <f t="shared" si="22"/>
        <v>0</v>
      </c>
      <c r="G154" s="169">
        <f t="shared" si="23"/>
        <v>0</v>
      </c>
      <c r="H154" s="171">
        <f t="shared" si="29"/>
        <v>0</v>
      </c>
      <c r="I154" s="318">
        <f t="shared" si="30"/>
        <v>0</v>
      </c>
      <c r="J154" s="173">
        <f t="shared" si="31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4"/>
        <v>0</v>
      </c>
    </row>
    <row r="155" spans="2:16">
      <c r="C155" s="158" t="s">
        <v>72</v>
      </c>
      <c r="D155" s="115"/>
      <c r="E155" s="115">
        <f>SUM(E99:E154)</f>
        <v>3305767.14</v>
      </c>
      <c r="F155" s="115"/>
      <c r="G155" s="115"/>
      <c r="H155" s="115">
        <f>SUM(H99:H154)</f>
        <v>13253798.776277313</v>
      </c>
      <c r="I155" s="115">
        <f>SUM(I99:I154)</f>
        <v>13253798.776277313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8:C72">
    <cfRule type="cellIs" dxfId="36" priority="2" stopIfTrue="1" operator="equal">
      <formula>$I$10</formula>
    </cfRule>
  </conditionalFormatting>
  <conditionalFormatting sqref="C99:C154">
    <cfRule type="cellIs" dxfId="35" priority="3" stopIfTrue="1" operator="equal">
      <formula>$J$92</formula>
    </cfRule>
  </conditionalFormatting>
  <conditionalFormatting sqref="C17">
    <cfRule type="cellIs" dxfId="34" priority="1" stopIfTrue="1" operator="equal">
      <formula>$I$10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C00000"/>
  </sheetPr>
  <dimension ref="A1:P162"/>
  <sheetViews>
    <sheetView view="pageBreakPreview" zoomScale="75" zoomScaleNormal="10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13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2734.4429571265264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2734.4429571265264</v>
      </c>
      <c r="O6" s="1"/>
      <c r="P6" s="1"/>
    </row>
    <row r="7" spans="1:16" ht="13.5" thickBot="1">
      <c r="C7" s="127" t="s">
        <v>41</v>
      </c>
      <c r="D7" s="343" t="s">
        <v>249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229</v>
      </c>
      <c r="E9" s="428" t="s">
        <v>313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22097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2010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552.42499999999995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6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D11</f>
        <v>2010</v>
      </c>
      <c r="D17" s="366">
        <v>0</v>
      </c>
      <c r="E17" s="371">
        <v>0</v>
      </c>
      <c r="F17" s="371">
        <v>0</v>
      </c>
      <c r="G17" s="371">
        <v>0</v>
      </c>
      <c r="H17" s="409">
        <v>0</v>
      </c>
      <c r="I17" s="160">
        <f t="shared" ref="I17:I48" si="0">H17-G17</f>
        <v>0</v>
      </c>
      <c r="J17" s="175"/>
      <c r="K17" s="338">
        <f t="shared" ref="K17:K22" si="1">G17</f>
        <v>0</v>
      </c>
      <c r="L17" s="408">
        <f t="shared" ref="L17:L48" si="2">IF(K17&lt;&gt;0,+G17-K17,0)</f>
        <v>0</v>
      </c>
      <c r="M17" s="338">
        <f t="shared" ref="M17:M22" si="3">H17</f>
        <v>0</v>
      </c>
      <c r="N17" s="358">
        <f t="shared" ref="N17:N48" si="4">IF(M17&lt;&gt;0,+H17-M17,0)</f>
        <v>0</v>
      </c>
      <c r="O17" s="162">
        <f t="shared" ref="O17:O48" si="5">+N17-L17</f>
        <v>0</v>
      </c>
      <c r="P17" s="4"/>
    </row>
    <row r="18" spans="2:16">
      <c r="B18" s="9" t="str">
        <f t="shared" ref="B18:B49" si="6">IF(D18=F17,"","IU")</f>
        <v/>
      </c>
      <c r="C18" s="157">
        <f>IF($D$11="","-",+C17+1)</f>
        <v>2011</v>
      </c>
      <c r="D18" s="366">
        <v>0</v>
      </c>
      <c r="E18" s="371">
        <v>0</v>
      </c>
      <c r="F18" s="371">
        <v>0</v>
      </c>
      <c r="G18" s="371">
        <v>0</v>
      </c>
      <c r="H18" s="409">
        <v>0</v>
      </c>
      <c r="I18" s="160">
        <f t="shared" si="0"/>
        <v>0</v>
      </c>
      <c r="J18" s="175"/>
      <c r="K18" s="338">
        <f t="shared" si="1"/>
        <v>0</v>
      </c>
      <c r="L18" s="175">
        <f t="shared" si="2"/>
        <v>0</v>
      </c>
      <c r="M18" s="338">
        <f t="shared" si="3"/>
        <v>0</v>
      </c>
      <c r="N18" s="160">
        <f t="shared" si="4"/>
        <v>0</v>
      </c>
      <c r="O18" s="162">
        <f t="shared" si="5"/>
        <v>0</v>
      </c>
      <c r="P18" s="4"/>
    </row>
    <row r="19" spans="2:16">
      <c r="B19" s="9" t="str">
        <f t="shared" si="6"/>
        <v>IU</v>
      </c>
      <c r="C19" s="157">
        <f>IF(D11="","-",+C18+1)</f>
        <v>2012</v>
      </c>
      <c r="D19" s="366">
        <v>22097</v>
      </c>
      <c r="E19" s="368">
        <v>212.47115384615381</v>
      </c>
      <c r="F19" s="366">
        <v>21884.528846153848</v>
      </c>
      <c r="G19" s="368">
        <v>3258.944937760969</v>
      </c>
      <c r="H19" s="370">
        <v>3258.944937760969</v>
      </c>
      <c r="I19" s="160">
        <f>H19-G19</f>
        <v>0</v>
      </c>
      <c r="J19" s="175"/>
      <c r="K19" s="338">
        <f t="shared" si="1"/>
        <v>3258.944937760969</v>
      </c>
      <c r="L19" s="175">
        <f t="shared" si="2"/>
        <v>0</v>
      </c>
      <c r="M19" s="338">
        <f t="shared" si="3"/>
        <v>3258.944937760969</v>
      </c>
      <c r="N19" s="160">
        <f t="shared" si="4"/>
        <v>0</v>
      </c>
      <c r="O19" s="162">
        <f t="shared" si="5"/>
        <v>0</v>
      </c>
      <c r="P19" s="4"/>
    </row>
    <row r="20" spans="2:16">
      <c r="B20" s="9" t="str">
        <f t="shared" si="6"/>
        <v/>
      </c>
      <c r="C20" s="157">
        <f>IF(D11="","-",+C19+1)</f>
        <v>2013</v>
      </c>
      <c r="D20" s="366">
        <v>21884.528846153848</v>
      </c>
      <c r="E20" s="368">
        <v>424.94230769230768</v>
      </c>
      <c r="F20" s="366">
        <v>21459.586538461539</v>
      </c>
      <c r="G20" s="368">
        <v>3489.9423076923076</v>
      </c>
      <c r="H20" s="370">
        <v>3489.9423076923076</v>
      </c>
      <c r="I20" s="160">
        <v>0</v>
      </c>
      <c r="J20" s="160"/>
      <c r="K20" s="338">
        <f t="shared" si="1"/>
        <v>3489.9423076923076</v>
      </c>
      <c r="L20" s="175">
        <f t="shared" ref="L20:L25" si="7">IF(K20&lt;&gt;0,+G20-K20,0)</f>
        <v>0</v>
      </c>
      <c r="M20" s="338">
        <f t="shared" si="3"/>
        <v>3489.9423076923076</v>
      </c>
      <c r="N20" s="160">
        <f t="shared" ref="N20:N25" si="8">IF(M20&lt;&gt;0,+H20-M20,0)</f>
        <v>0</v>
      </c>
      <c r="O20" s="162">
        <f t="shared" ref="O20:O25" si="9">+N20-L20</f>
        <v>0</v>
      </c>
      <c r="P20" s="4"/>
    </row>
    <row r="21" spans="2:16">
      <c r="B21" s="9" t="str">
        <f t="shared" si="6"/>
        <v/>
      </c>
      <c r="C21" s="157">
        <f>IF(D11="","-",+C20+1)</f>
        <v>2014</v>
      </c>
      <c r="D21" s="366">
        <v>21459.586538461539</v>
      </c>
      <c r="E21" s="368">
        <v>424.94230769230768</v>
      </c>
      <c r="F21" s="366">
        <v>21034.64423076923</v>
      </c>
      <c r="G21" s="368">
        <v>3320.9423076923076</v>
      </c>
      <c r="H21" s="370">
        <v>3320.9423076923076</v>
      </c>
      <c r="I21" s="160">
        <v>0</v>
      </c>
      <c r="J21" s="160"/>
      <c r="K21" s="338">
        <f t="shared" si="1"/>
        <v>3320.9423076923076</v>
      </c>
      <c r="L21" s="175">
        <f t="shared" si="7"/>
        <v>0</v>
      </c>
      <c r="M21" s="338">
        <f t="shared" si="3"/>
        <v>3320.9423076923076</v>
      </c>
      <c r="N21" s="160">
        <f t="shared" si="8"/>
        <v>0</v>
      </c>
      <c r="O21" s="162">
        <f t="shared" si="9"/>
        <v>0</v>
      </c>
      <c r="P21" s="4"/>
    </row>
    <row r="22" spans="2:16">
      <c r="B22" s="9" t="str">
        <f t="shared" si="6"/>
        <v/>
      </c>
      <c r="C22" s="157">
        <f>IF(D11="","-",+C21+1)</f>
        <v>2015</v>
      </c>
      <c r="D22" s="366">
        <v>21034.64423076923</v>
      </c>
      <c r="E22" s="368">
        <v>424.94230769230768</v>
      </c>
      <c r="F22" s="366">
        <v>20609.701923076922</v>
      </c>
      <c r="G22" s="368">
        <v>3265.9423076923076</v>
      </c>
      <c r="H22" s="370">
        <v>3265.9423076923076</v>
      </c>
      <c r="I22" s="160">
        <v>0</v>
      </c>
      <c r="J22" s="160"/>
      <c r="K22" s="338">
        <f t="shared" si="1"/>
        <v>3265.9423076923076</v>
      </c>
      <c r="L22" s="175">
        <f t="shared" si="7"/>
        <v>0</v>
      </c>
      <c r="M22" s="338">
        <f t="shared" si="3"/>
        <v>3265.9423076923076</v>
      </c>
      <c r="N22" s="160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2016</v>
      </c>
      <c r="D23" s="366">
        <v>20609.701923076922</v>
      </c>
      <c r="E23" s="368">
        <v>424.94230769230768</v>
      </c>
      <c r="F23" s="366">
        <v>20184.759615384613</v>
      </c>
      <c r="G23" s="368">
        <v>3071.9423076923076</v>
      </c>
      <c r="H23" s="370">
        <v>3071.9423076923076</v>
      </c>
      <c r="I23" s="160">
        <f t="shared" si="0"/>
        <v>0</v>
      </c>
      <c r="J23" s="160"/>
      <c r="K23" s="338">
        <f>G23</f>
        <v>3071.9423076923076</v>
      </c>
      <c r="L23" s="175">
        <f t="shared" si="7"/>
        <v>0</v>
      </c>
      <c r="M23" s="338">
        <f>H23</f>
        <v>3071.9423076923076</v>
      </c>
      <c r="N23" s="160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2017</v>
      </c>
      <c r="D24" s="366">
        <v>20184.759615384613</v>
      </c>
      <c r="E24" s="368">
        <v>480.36956521739131</v>
      </c>
      <c r="F24" s="366">
        <v>19704.390050167221</v>
      </c>
      <c r="G24" s="368">
        <v>2988.3695652173915</v>
      </c>
      <c r="H24" s="370">
        <v>2988.3695652173915</v>
      </c>
      <c r="I24" s="160">
        <v>0</v>
      </c>
      <c r="J24" s="160"/>
      <c r="K24" s="338">
        <f>G24</f>
        <v>2988.3695652173915</v>
      </c>
      <c r="L24" s="175">
        <f t="shared" si="7"/>
        <v>0</v>
      </c>
      <c r="M24" s="338">
        <f>H24</f>
        <v>2988.3695652173915</v>
      </c>
      <c r="N24" s="160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2018</v>
      </c>
      <c r="D25" s="366">
        <v>19704.390050167221</v>
      </c>
      <c r="E25" s="368">
        <v>491.04444444444442</v>
      </c>
      <c r="F25" s="366">
        <v>19213.345605722778</v>
      </c>
      <c r="G25" s="368">
        <v>2821.4178428916557</v>
      </c>
      <c r="H25" s="370">
        <v>2821.4178428916557</v>
      </c>
      <c r="I25" s="160">
        <f t="shared" si="0"/>
        <v>0</v>
      </c>
      <c r="J25" s="160"/>
      <c r="K25" s="338">
        <f>G25</f>
        <v>2821.4178428916557</v>
      </c>
      <c r="L25" s="175">
        <f t="shared" si="7"/>
        <v>0</v>
      </c>
      <c r="M25" s="338">
        <f>H25</f>
        <v>2821.4178428916557</v>
      </c>
      <c r="N25" s="160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2019</v>
      </c>
      <c r="D26" s="163">
        <f>IF(F25+SUM(E$17:E25)=D$10,F25,D$10-SUM(E$17:E25))</f>
        <v>19213.345605722778</v>
      </c>
      <c r="E26" s="164">
        <f>IF(+I14&lt;F25,I14,D26)</f>
        <v>552.42499999999995</v>
      </c>
      <c r="F26" s="163">
        <f t="shared" ref="F26:F48" si="10">+D26-E26</f>
        <v>18660.920605722778</v>
      </c>
      <c r="G26" s="165">
        <f t="shared" ref="G26:G72" si="11">(D26+F26)/2*I$12+E26</f>
        <v>2734.4429571265264</v>
      </c>
      <c r="H26" s="147">
        <f t="shared" ref="H26:H72" si="12">+(D26+F26)/2*I$13+E26</f>
        <v>2734.4429571265264</v>
      </c>
      <c r="I26" s="160">
        <f t="shared" si="0"/>
        <v>0</v>
      </c>
      <c r="J26" s="160"/>
      <c r="K26" s="335"/>
      <c r="L26" s="162">
        <f t="shared" si="2"/>
        <v>0</v>
      </c>
      <c r="M26" s="335"/>
      <c r="N26" s="162">
        <f t="shared" si="4"/>
        <v>0</v>
      </c>
      <c r="O26" s="162">
        <f t="shared" si="5"/>
        <v>0</v>
      </c>
      <c r="P26" s="4"/>
    </row>
    <row r="27" spans="2:16">
      <c r="B27" s="9" t="str">
        <f t="shared" si="6"/>
        <v/>
      </c>
      <c r="C27" s="157">
        <f>IF(D11="","-",+C26+1)</f>
        <v>2020</v>
      </c>
      <c r="D27" s="166">
        <f>IF(F26+SUM(E$17:E26)=D$10,F26,D$10-SUM(E$17:E26))</f>
        <v>18660.920605722778</v>
      </c>
      <c r="E27" s="164">
        <f>IF(+I14&lt;F26,I14,D27)</f>
        <v>552.42499999999995</v>
      </c>
      <c r="F27" s="163">
        <f t="shared" si="10"/>
        <v>18108.495605722779</v>
      </c>
      <c r="G27" s="165">
        <f t="shared" si="11"/>
        <v>2670.7901717109053</v>
      </c>
      <c r="H27" s="147">
        <f t="shared" si="12"/>
        <v>2670.7901717109053</v>
      </c>
      <c r="I27" s="160">
        <f t="shared" si="0"/>
        <v>0</v>
      </c>
      <c r="J27" s="160"/>
      <c r="K27" s="335"/>
      <c r="L27" s="162">
        <f t="shared" si="2"/>
        <v>0</v>
      </c>
      <c r="M27" s="335"/>
      <c r="N27" s="162">
        <f t="shared" si="4"/>
        <v>0</v>
      </c>
      <c r="O27" s="162">
        <f t="shared" si="5"/>
        <v>0</v>
      </c>
      <c r="P27" s="4"/>
    </row>
    <row r="28" spans="2:16">
      <c r="B28" s="9" t="str">
        <f t="shared" si="6"/>
        <v/>
      </c>
      <c r="C28" s="157">
        <f>IF(D11="","-",+C27+1)</f>
        <v>2021</v>
      </c>
      <c r="D28" s="163">
        <f>IF(F27+SUM(E$17:E27)=D$10,F27,D$10-SUM(E$17:E27))</f>
        <v>18108.495605722779</v>
      </c>
      <c r="E28" s="164">
        <f>IF(+I14&lt;F27,I14,D28)</f>
        <v>552.42499999999995</v>
      </c>
      <c r="F28" s="163">
        <f t="shared" si="10"/>
        <v>17556.07060572278</v>
      </c>
      <c r="G28" s="165">
        <f t="shared" si="11"/>
        <v>2607.1373862952851</v>
      </c>
      <c r="H28" s="147">
        <f t="shared" si="12"/>
        <v>2607.1373862952851</v>
      </c>
      <c r="I28" s="160">
        <f t="shared" si="0"/>
        <v>0</v>
      </c>
      <c r="J28" s="160"/>
      <c r="K28" s="335"/>
      <c r="L28" s="162">
        <f t="shared" si="2"/>
        <v>0</v>
      </c>
      <c r="M28" s="335"/>
      <c r="N28" s="162">
        <f t="shared" si="4"/>
        <v>0</v>
      </c>
      <c r="O28" s="162">
        <f t="shared" si="5"/>
        <v>0</v>
      </c>
      <c r="P28" s="4"/>
    </row>
    <row r="29" spans="2:16">
      <c r="B29" s="9" t="str">
        <f t="shared" si="6"/>
        <v/>
      </c>
      <c r="C29" s="157">
        <f>IF(D11="","-",+C28+1)</f>
        <v>2022</v>
      </c>
      <c r="D29" s="163">
        <f>IF(F28+SUM(E$17:E28)=D$10,F28,D$10-SUM(E$17:E28))</f>
        <v>17556.07060572278</v>
      </c>
      <c r="E29" s="164">
        <f>IF(+I14&lt;F28,I14,D29)</f>
        <v>552.42499999999995</v>
      </c>
      <c r="F29" s="163">
        <f t="shared" si="10"/>
        <v>17003.645605722781</v>
      </c>
      <c r="G29" s="165">
        <f t="shared" si="11"/>
        <v>2543.484600879664</v>
      </c>
      <c r="H29" s="147">
        <f t="shared" si="12"/>
        <v>2543.484600879664</v>
      </c>
      <c r="I29" s="160">
        <f t="shared" si="0"/>
        <v>0</v>
      </c>
      <c r="J29" s="160"/>
      <c r="K29" s="335"/>
      <c r="L29" s="162">
        <f t="shared" si="2"/>
        <v>0</v>
      </c>
      <c r="M29" s="335"/>
      <c r="N29" s="162">
        <f t="shared" si="4"/>
        <v>0</v>
      </c>
      <c r="O29" s="162">
        <f t="shared" si="5"/>
        <v>0</v>
      </c>
      <c r="P29" s="4"/>
    </row>
    <row r="30" spans="2:16">
      <c r="B30" s="9" t="str">
        <f t="shared" si="6"/>
        <v/>
      </c>
      <c r="C30" s="157">
        <f>IF(D11="","-",+C29+1)</f>
        <v>2023</v>
      </c>
      <c r="D30" s="163">
        <f>IF(F29+SUM(E$17:E29)=D$10,F29,D$10-SUM(E$17:E29))</f>
        <v>17003.645605722781</v>
      </c>
      <c r="E30" s="164">
        <f>IF(+I14&lt;F29,I14,D30)</f>
        <v>552.42499999999995</v>
      </c>
      <c r="F30" s="163">
        <f t="shared" si="10"/>
        <v>16451.220605722781</v>
      </c>
      <c r="G30" s="165">
        <f t="shared" si="11"/>
        <v>2479.8318154640438</v>
      </c>
      <c r="H30" s="147">
        <f t="shared" si="12"/>
        <v>2479.8318154640438</v>
      </c>
      <c r="I30" s="160">
        <f t="shared" si="0"/>
        <v>0</v>
      </c>
      <c r="J30" s="160"/>
      <c r="K30" s="335"/>
      <c r="L30" s="162">
        <f t="shared" si="2"/>
        <v>0</v>
      </c>
      <c r="M30" s="335"/>
      <c r="N30" s="162">
        <f t="shared" si="4"/>
        <v>0</v>
      </c>
      <c r="O30" s="162">
        <f t="shared" si="5"/>
        <v>0</v>
      </c>
      <c r="P30" s="4"/>
    </row>
    <row r="31" spans="2:16">
      <c r="B31" s="9" t="str">
        <f t="shared" si="6"/>
        <v/>
      </c>
      <c r="C31" s="157">
        <f>IF(D11="","-",+C30+1)</f>
        <v>2024</v>
      </c>
      <c r="D31" s="163">
        <f>IF(F30+SUM(E$17:E30)=D$10,F30,D$10-SUM(E$17:E30))</f>
        <v>16451.220605722781</v>
      </c>
      <c r="E31" s="164">
        <f>IF(+I14&lt;F30,I14,D31)</f>
        <v>552.42499999999995</v>
      </c>
      <c r="F31" s="163">
        <f t="shared" si="10"/>
        <v>15898.795605722782</v>
      </c>
      <c r="G31" s="165">
        <f t="shared" si="11"/>
        <v>2416.1790300484226</v>
      </c>
      <c r="H31" s="147">
        <f t="shared" si="12"/>
        <v>2416.1790300484226</v>
      </c>
      <c r="I31" s="160">
        <f t="shared" si="0"/>
        <v>0</v>
      </c>
      <c r="J31" s="160"/>
      <c r="K31" s="335"/>
      <c r="L31" s="162">
        <f t="shared" si="2"/>
        <v>0</v>
      </c>
      <c r="M31" s="335"/>
      <c r="N31" s="162">
        <f t="shared" si="4"/>
        <v>0</v>
      </c>
      <c r="O31" s="162">
        <f t="shared" si="5"/>
        <v>0</v>
      </c>
      <c r="P31" s="4"/>
    </row>
    <row r="32" spans="2:16">
      <c r="B32" s="9" t="str">
        <f t="shared" si="6"/>
        <v/>
      </c>
      <c r="C32" s="157">
        <f>IF(D11="","-",+C31+1)</f>
        <v>2025</v>
      </c>
      <c r="D32" s="163">
        <f>IF(F31+SUM(E$17:E31)=D$10,F31,D$10-SUM(E$17:E31))</f>
        <v>15898.795605722782</v>
      </c>
      <c r="E32" s="164">
        <f>IF(+I14&lt;F31,I14,D32)</f>
        <v>552.42499999999995</v>
      </c>
      <c r="F32" s="163">
        <f t="shared" si="10"/>
        <v>15346.370605722783</v>
      </c>
      <c r="G32" s="165">
        <f t="shared" si="11"/>
        <v>2352.526244632802</v>
      </c>
      <c r="H32" s="147">
        <f t="shared" si="12"/>
        <v>2352.526244632802</v>
      </c>
      <c r="I32" s="160">
        <f t="shared" si="0"/>
        <v>0</v>
      </c>
      <c r="J32" s="160"/>
      <c r="K32" s="335"/>
      <c r="L32" s="162">
        <f t="shared" si="2"/>
        <v>0</v>
      </c>
      <c r="M32" s="335"/>
      <c r="N32" s="162">
        <f t="shared" si="4"/>
        <v>0</v>
      </c>
      <c r="O32" s="162">
        <f t="shared" si="5"/>
        <v>0</v>
      </c>
      <c r="P32" s="4"/>
    </row>
    <row r="33" spans="2:16">
      <c r="B33" s="9" t="str">
        <f t="shared" si="6"/>
        <v/>
      </c>
      <c r="C33" s="157">
        <f>IF(D11="","-",+C32+1)</f>
        <v>2026</v>
      </c>
      <c r="D33" s="163">
        <f>IF(F32+SUM(E$17:E32)=D$10,F32,D$10-SUM(E$17:E32))</f>
        <v>15346.370605722783</v>
      </c>
      <c r="E33" s="164">
        <f>IF(+I14&lt;F32,I14,D33)</f>
        <v>552.42499999999995</v>
      </c>
      <c r="F33" s="163">
        <f t="shared" si="10"/>
        <v>14793.945605722784</v>
      </c>
      <c r="G33" s="165">
        <f t="shared" si="11"/>
        <v>2288.8734592171813</v>
      </c>
      <c r="H33" s="147">
        <f t="shared" si="12"/>
        <v>2288.8734592171813</v>
      </c>
      <c r="I33" s="160">
        <f t="shared" si="0"/>
        <v>0</v>
      </c>
      <c r="J33" s="160"/>
      <c r="K33" s="335"/>
      <c r="L33" s="162">
        <f t="shared" si="2"/>
        <v>0</v>
      </c>
      <c r="M33" s="335"/>
      <c r="N33" s="162">
        <f t="shared" si="4"/>
        <v>0</v>
      </c>
      <c r="O33" s="162">
        <f t="shared" si="5"/>
        <v>0</v>
      </c>
      <c r="P33" s="4"/>
    </row>
    <row r="34" spans="2:16">
      <c r="B34" s="9" t="str">
        <f t="shared" si="6"/>
        <v/>
      </c>
      <c r="C34" s="157">
        <f>IF(D11="","-",+C33+1)</f>
        <v>2027</v>
      </c>
      <c r="D34" s="163">
        <f>IF(F33+SUM(E$17:E33)=D$10,F33,D$10-SUM(E$17:E33))</f>
        <v>14793.945605722784</v>
      </c>
      <c r="E34" s="164">
        <f>IF(+I14&lt;F33,I14,D34)</f>
        <v>552.42499999999995</v>
      </c>
      <c r="F34" s="163">
        <f t="shared" si="10"/>
        <v>14241.520605722784</v>
      </c>
      <c r="G34" s="165">
        <f t="shared" si="11"/>
        <v>2225.2206738015602</v>
      </c>
      <c r="H34" s="147">
        <f t="shared" si="12"/>
        <v>2225.2206738015602</v>
      </c>
      <c r="I34" s="160">
        <f t="shared" si="0"/>
        <v>0</v>
      </c>
      <c r="J34" s="160"/>
      <c r="K34" s="335"/>
      <c r="L34" s="162">
        <f t="shared" si="2"/>
        <v>0</v>
      </c>
      <c r="M34" s="335"/>
      <c r="N34" s="162">
        <f t="shared" si="4"/>
        <v>0</v>
      </c>
      <c r="O34" s="162">
        <f t="shared" si="5"/>
        <v>0</v>
      </c>
      <c r="P34" s="4"/>
    </row>
    <row r="35" spans="2:16">
      <c r="B35" s="9" t="str">
        <f t="shared" si="6"/>
        <v/>
      </c>
      <c r="C35" s="157">
        <f>IF(D11="","-",+C34+1)</f>
        <v>2028</v>
      </c>
      <c r="D35" s="163">
        <f>IF(F34+SUM(E$17:E34)=D$10,F34,D$10-SUM(E$17:E34))</f>
        <v>14241.520605722784</v>
      </c>
      <c r="E35" s="164">
        <f>IF(+I14&lt;F34,I14,D35)</f>
        <v>552.42499999999995</v>
      </c>
      <c r="F35" s="163">
        <f t="shared" si="10"/>
        <v>13689.095605722785</v>
      </c>
      <c r="G35" s="165">
        <f t="shared" si="11"/>
        <v>2161.56788838594</v>
      </c>
      <c r="H35" s="147">
        <f t="shared" si="12"/>
        <v>2161.56788838594</v>
      </c>
      <c r="I35" s="160">
        <f t="shared" si="0"/>
        <v>0</v>
      </c>
      <c r="J35" s="160"/>
      <c r="K35" s="335"/>
      <c r="L35" s="162">
        <f t="shared" si="2"/>
        <v>0</v>
      </c>
      <c r="M35" s="335"/>
      <c r="N35" s="162">
        <f t="shared" si="4"/>
        <v>0</v>
      </c>
      <c r="O35" s="162">
        <f t="shared" si="5"/>
        <v>0</v>
      </c>
      <c r="P35" s="4"/>
    </row>
    <row r="36" spans="2:16">
      <c r="B36" s="9" t="str">
        <f t="shared" si="6"/>
        <v/>
      </c>
      <c r="C36" s="157">
        <f>IF(D11="","-",+C35+1)</f>
        <v>2029</v>
      </c>
      <c r="D36" s="163">
        <f>IF(F35+SUM(E$17:E35)=D$10,F35,D$10-SUM(E$17:E35))</f>
        <v>13689.095605722785</v>
      </c>
      <c r="E36" s="164">
        <f>IF(+I14&lt;F35,I14,D36)</f>
        <v>552.42499999999995</v>
      </c>
      <c r="F36" s="163">
        <f t="shared" si="10"/>
        <v>13136.670605722786</v>
      </c>
      <c r="G36" s="165">
        <f t="shared" si="11"/>
        <v>2097.9151029703189</v>
      </c>
      <c r="H36" s="147">
        <f t="shared" si="12"/>
        <v>2097.9151029703189</v>
      </c>
      <c r="I36" s="160">
        <f t="shared" si="0"/>
        <v>0</v>
      </c>
      <c r="J36" s="160"/>
      <c r="K36" s="335"/>
      <c r="L36" s="162">
        <f t="shared" si="2"/>
        <v>0</v>
      </c>
      <c r="M36" s="335"/>
      <c r="N36" s="162">
        <f t="shared" si="4"/>
        <v>0</v>
      </c>
      <c r="O36" s="162">
        <f t="shared" si="5"/>
        <v>0</v>
      </c>
      <c r="P36" s="4"/>
    </row>
    <row r="37" spans="2:16">
      <c r="B37" s="9" t="str">
        <f t="shared" si="6"/>
        <v/>
      </c>
      <c r="C37" s="157">
        <f>IF(D11="","-",+C36+1)</f>
        <v>2030</v>
      </c>
      <c r="D37" s="163">
        <f>IF(F36+SUM(E$17:E36)=D$10,F36,D$10-SUM(E$17:E36))</f>
        <v>13136.670605722786</v>
      </c>
      <c r="E37" s="164">
        <f>IF(+I14&lt;F36,I14,D37)</f>
        <v>552.42499999999995</v>
      </c>
      <c r="F37" s="163">
        <f t="shared" si="10"/>
        <v>12584.245605722786</v>
      </c>
      <c r="G37" s="165">
        <f t="shared" si="11"/>
        <v>2034.2623175546983</v>
      </c>
      <c r="H37" s="147">
        <f t="shared" si="12"/>
        <v>2034.2623175546983</v>
      </c>
      <c r="I37" s="160">
        <f t="shared" si="0"/>
        <v>0</v>
      </c>
      <c r="J37" s="160"/>
      <c r="K37" s="335"/>
      <c r="L37" s="162">
        <f t="shared" si="2"/>
        <v>0</v>
      </c>
      <c r="M37" s="335"/>
      <c r="N37" s="162">
        <f t="shared" si="4"/>
        <v>0</v>
      </c>
      <c r="O37" s="162">
        <f t="shared" si="5"/>
        <v>0</v>
      </c>
      <c r="P37" s="4"/>
    </row>
    <row r="38" spans="2:16">
      <c r="B38" s="9" t="str">
        <f t="shared" si="6"/>
        <v/>
      </c>
      <c r="C38" s="157">
        <f>IF(D11="","-",+C37+1)</f>
        <v>2031</v>
      </c>
      <c r="D38" s="163">
        <f>IF(F37+SUM(E$17:E37)=D$10,F37,D$10-SUM(E$17:E37))</f>
        <v>12584.245605722786</v>
      </c>
      <c r="E38" s="164">
        <f>IF(+I14&lt;F37,I14,D38)</f>
        <v>552.42499999999995</v>
      </c>
      <c r="F38" s="163">
        <f t="shared" si="10"/>
        <v>12031.820605722787</v>
      </c>
      <c r="G38" s="165">
        <f t="shared" si="11"/>
        <v>1970.6095321390774</v>
      </c>
      <c r="H38" s="147">
        <f t="shared" si="12"/>
        <v>1970.6095321390774</v>
      </c>
      <c r="I38" s="160">
        <f t="shared" si="0"/>
        <v>0</v>
      </c>
      <c r="J38" s="160"/>
      <c r="K38" s="335"/>
      <c r="L38" s="162">
        <f t="shared" si="2"/>
        <v>0</v>
      </c>
      <c r="M38" s="335"/>
      <c r="N38" s="162">
        <f t="shared" si="4"/>
        <v>0</v>
      </c>
      <c r="O38" s="162">
        <f t="shared" si="5"/>
        <v>0</v>
      </c>
      <c r="P38" s="4"/>
    </row>
    <row r="39" spans="2:16">
      <c r="B39" s="9" t="str">
        <f t="shared" si="6"/>
        <v/>
      </c>
      <c r="C39" s="157">
        <f>IF(D11="","-",+C38+1)</f>
        <v>2032</v>
      </c>
      <c r="D39" s="163">
        <f>IF(F38+SUM(E$17:E38)=D$10,F38,D$10-SUM(E$17:E38))</f>
        <v>12031.820605722787</v>
      </c>
      <c r="E39" s="164">
        <f>IF(+I14&lt;F38,I14,D39)</f>
        <v>552.42499999999995</v>
      </c>
      <c r="F39" s="163">
        <f t="shared" si="10"/>
        <v>11479.395605722788</v>
      </c>
      <c r="G39" s="165">
        <f t="shared" si="11"/>
        <v>1906.9567467234567</v>
      </c>
      <c r="H39" s="147">
        <f t="shared" si="12"/>
        <v>1906.9567467234567</v>
      </c>
      <c r="I39" s="160">
        <f t="shared" si="0"/>
        <v>0</v>
      </c>
      <c r="J39" s="160"/>
      <c r="K39" s="335"/>
      <c r="L39" s="162">
        <f t="shared" si="2"/>
        <v>0</v>
      </c>
      <c r="M39" s="335"/>
      <c r="N39" s="162">
        <f t="shared" si="4"/>
        <v>0</v>
      </c>
      <c r="O39" s="162">
        <f t="shared" si="5"/>
        <v>0</v>
      </c>
      <c r="P39" s="4"/>
    </row>
    <row r="40" spans="2:16">
      <c r="B40" s="9" t="str">
        <f t="shared" si="6"/>
        <v/>
      </c>
      <c r="C40" s="157">
        <f>IF(D11="","-",+C39+1)</f>
        <v>2033</v>
      </c>
      <c r="D40" s="163">
        <f>IF(F39+SUM(E$17:E39)=D$10,F39,D$10-SUM(E$17:E39))</f>
        <v>11479.395605722788</v>
      </c>
      <c r="E40" s="164">
        <f>IF(+I14&lt;F39,I14,D40)</f>
        <v>552.42499999999995</v>
      </c>
      <c r="F40" s="163">
        <f t="shared" si="10"/>
        <v>10926.970605722789</v>
      </c>
      <c r="G40" s="165">
        <f t="shared" si="11"/>
        <v>1843.3039613078361</v>
      </c>
      <c r="H40" s="147">
        <f t="shared" si="12"/>
        <v>1843.3039613078361</v>
      </c>
      <c r="I40" s="160">
        <f t="shared" si="0"/>
        <v>0</v>
      </c>
      <c r="J40" s="160"/>
      <c r="K40" s="335"/>
      <c r="L40" s="162">
        <f t="shared" si="2"/>
        <v>0</v>
      </c>
      <c r="M40" s="335"/>
      <c r="N40" s="162">
        <f t="shared" si="4"/>
        <v>0</v>
      </c>
      <c r="O40" s="162">
        <f t="shared" si="5"/>
        <v>0</v>
      </c>
      <c r="P40" s="4"/>
    </row>
    <row r="41" spans="2:16">
      <c r="B41" s="9" t="str">
        <f t="shared" si="6"/>
        <v/>
      </c>
      <c r="C41" s="157">
        <f>IF(D11="","-",+C40+1)</f>
        <v>2034</v>
      </c>
      <c r="D41" s="163">
        <f>IF(F40+SUM(E$17:E40)=D$10,F40,D$10-SUM(E$17:E40))</f>
        <v>10926.970605722789</v>
      </c>
      <c r="E41" s="164">
        <f>IF(+I14&lt;F40,I14,D41)</f>
        <v>552.42499999999995</v>
      </c>
      <c r="F41" s="163">
        <f t="shared" si="10"/>
        <v>10374.545605722789</v>
      </c>
      <c r="G41" s="165">
        <f t="shared" si="11"/>
        <v>1779.6511758922152</v>
      </c>
      <c r="H41" s="147">
        <f t="shared" si="12"/>
        <v>1779.6511758922152</v>
      </c>
      <c r="I41" s="160">
        <f t="shared" si="0"/>
        <v>0</v>
      </c>
      <c r="J41" s="160"/>
      <c r="K41" s="335"/>
      <c r="L41" s="162">
        <f t="shared" si="2"/>
        <v>0</v>
      </c>
      <c r="M41" s="335"/>
      <c r="N41" s="162">
        <f t="shared" si="4"/>
        <v>0</v>
      </c>
      <c r="O41" s="162">
        <f t="shared" si="5"/>
        <v>0</v>
      </c>
      <c r="P41" s="4"/>
    </row>
    <row r="42" spans="2:16">
      <c r="B42" s="9" t="str">
        <f t="shared" si="6"/>
        <v/>
      </c>
      <c r="C42" s="157">
        <f>IF(D11="","-",+C41+1)</f>
        <v>2035</v>
      </c>
      <c r="D42" s="163">
        <f>IF(F41+SUM(E$17:E41)=D$10,F41,D$10-SUM(E$17:E41))</f>
        <v>10374.545605722789</v>
      </c>
      <c r="E42" s="164">
        <f>IF(+I14&lt;F41,I14,D42)</f>
        <v>552.42499999999995</v>
      </c>
      <c r="F42" s="163">
        <f t="shared" si="10"/>
        <v>9822.1206057227901</v>
      </c>
      <c r="G42" s="165">
        <f t="shared" si="11"/>
        <v>1715.9983904765945</v>
      </c>
      <c r="H42" s="147">
        <f t="shared" si="12"/>
        <v>1715.9983904765945</v>
      </c>
      <c r="I42" s="160">
        <f t="shared" si="0"/>
        <v>0</v>
      </c>
      <c r="J42" s="160"/>
      <c r="K42" s="335"/>
      <c r="L42" s="162">
        <f t="shared" si="2"/>
        <v>0</v>
      </c>
      <c r="M42" s="335"/>
      <c r="N42" s="162">
        <f t="shared" si="4"/>
        <v>0</v>
      </c>
      <c r="O42" s="162">
        <f t="shared" si="5"/>
        <v>0</v>
      </c>
      <c r="P42" s="4"/>
    </row>
    <row r="43" spans="2:16">
      <c r="B43" s="9" t="str">
        <f t="shared" si="6"/>
        <v/>
      </c>
      <c r="C43" s="157">
        <f>IF(D11="","-",+C42+1)</f>
        <v>2036</v>
      </c>
      <c r="D43" s="163">
        <f>IF(F42+SUM(E$17:E42)=D$10,F42,D$10-SUM(E$17:E42))</f>
        <v>9822.1206057227901</v>
      </c>
      <c r="E43" s="164">
        <f>IF(+I14&lt;F42,I14,D43)</f>
        <v>552.42499999999995</v>
      </c>
      <c r="F43" s="163">
        <f t="shared" si="10"/>
        <v>9269.6956057227908</v>
      </c>
      <c r="G43" s="165">
        <f t="shared" si="11"/>
        <v>1652.3456050609736</v>
      </c>
      <c r="H43" s="147">
        <f t="shared" si="12"/>
        <v>1652.3456050609736</v>
      </c>
      <c r="I43" s="160">
        <f t="shared" si="0"/>
        <v>0</v>
      </c>
      <c r="J43" s="160"/>
      <c r="K43" s="335"/>
      <c r="L43" s="162">
        <f t="shared" si="2"/>
        <v>0</v>
      </c>
      <c r="M43" s="335"/>
      <c r="N43" s="162">
        <f t="shared" si="4"/>
        <v>0</v>
      </c>
      <c r="O43" s="162">
        <f t="shared" si="5"/>
        <v>0</v>
      </c>
      <c r="P43" s="4"/>
    </row>
    <row r="44" spans="2:16">
      <c r="B44" s="9" t="str">
        <f t="shared" si="6"/>
        <v/>
      </c>
      <c r="C44" s="157">
        <f>IF(D11="","-",+C43+1)</f>
        <v>2037</v>
      </c>
      <c r="D44" s="163">
        <f>IF(F43+SUM(E$17:E43)=D$10,F43,D$10-SUM(E$17:E43))</f>
        <v>9269.6956057227908</v>
      </c>
      <c r="E44" s="164">
        <f>IF(+I14&lt;F43,I14,D44)</f>
        <v>552.42499999999995</v>
      </c>
      <c r="F44" s="163">
        <f t="shared" si="10"/>
        <v>8717.2706057227915</v>
      </c>
      <c r="G44" s="165">
        <f t="shared" si="11"/>
        <v>1588.692819645353</v>
      </c>
      <c r="H44" s="147">
        <f t="shared" si="12"/>
        <v>1588.692819645353</v>
      </c>
      <c r="I44" s="160">
        <f t="shared" si="0"/>
        <v>0</v>
      </c>
      <c r="J44" s="160"/>
      <c r="K44" s="335"/>
      <c r="L44" s="162">
        <f t="shared" si="2"/>
        <v>0</v>
      </c>
      <c r="M44" s="335"/>
      <c r="N44" s="162">
        <f t="shared" si="4"/>
        <v>0</v>
      </c>
      <c r="O44" s="162">
        <f t="shared" si="5"/>
        <v>0</v>
      </c>
      <c r="P44" s="4"/>
    </row>
    <row r="45" spans="2:16">
      <c r="B45" s="9" t="str">
        <f t="shared" si="6"/>
        <v/>
      </c>
      <c r="C45" s="157">
        <f>IF(D11="","-",+C44+1)</f>
        <v>2038</v>
      </c>
      <c r="D45" s="163">
        <f>IF(F44+SUM(E$17:E44)=D$10,F44,D$10-SUM(E$17:E44))</f>
        <v>8717.2706057227915</v>
      </c>
      <c r="E45" s="164">
        <f>IF(+I14&lt;F44,I14,D45)</f>
        <v>552.42499999999995</v>
      </c>
      <c r="F45" s="163">
        <f t="shared" si="10"/>
        <v>8164.8456057227913</v>
      </c>
      <c r="G45" s="165">
        <f t="shared" si="11"/>
        <v>1525.0400342297321</v>
      </c>
      <c r="H45" s="147">
        <f t="shared" si="12"/>
        <v>1525.0400342297321</v>
      </c>
      <c r="I45" s="160">
        <f t="shared" si="0"/>
        <v>0</v>
      </c>
      <c r="J45" s="160"/>
      <c r="K45" s="335"/>
      <c r="L45" s="162">
        <f t="shared" si="2"/>
        <v>0</v>
      </c>
      <c r="M45" s="335"/>
      <c r="N45" s="162">
        <f t="shared" si="4"/>
        <v>0</v>
      </c>
      <c r="O45" s="162">
        <f t="shared" si="5"/>
        <v>0</v>
      </c>
      <c r="P45" s="4"/>
    </row>
    <row r="46" spans="2:16">
      <c r="B46" s="9" t="str">
        <f t="shared" si="6"/>
        <v/>
      </c>
      <c r="C46" s="157">
        <f>IF(D11="","-",+C45+1)</f>
        <v>2039</v>
      </c>
      <c r="D46" s="163">
        <f>IF(F45+SUM(E$17:E45)=D$10,F45,D$10-SUM(E$17:E45))</f>
        <v>8164.8456057227913</v>
      </c>
      <c r="E46" s="164">
        <f>IF(+I14&lt;F45,I14,D46)</f>
        <v>552.42499999999995</v>
      </c>
      <c r="F46" s="163">
        <f t="shared" si="10"/>
        <v>7612.4206057227912</v>
      </c>
      <c r="G46" s="165">
        <f t="shared" si="11"/>
        <v>1461.3872488141112</v>
      </c>
      <c r="H46" s="147">
        <f t="shared" si="12"/>
        <v>1461.3872488141112</v>
      </c>
      <c r="I46" s="160">
        <f t="shared" si="0"/>
        <v>0</v>
      </c>
      <c r="J46" s="160"/>
      <c r="K46" s="335"/>
      <c r="L46" s="162">
        <f t="shared" si="2"/>
        <v>0</v>
      </c>
      <c r="M46" s="335"/>
      <c r="N46" s="162">
        <f t="shared" si="4"/>
        <v>0</v>
      </c>
      <c r="O46" s="162">
        <f t="shared" si="5"/>
        <v>0</v>
      </c>
      <c r="P46" s="4"/>
    </row>
    <row r="47" spans="2:16">
      <c r="B47" s="9" t="str">
        <f t="shared" si="6"/>
        <v/>
      </c>
      <c r="C47" s="157">
        <f>IF(D11="","-",+C46+1)</f>
        <v>2040</v>
      </c>
      <c r="D47" s="163">
        <f>IF(F46+SUM(E$17:E46)=D$10,F46,D$10-SUM(E$17:E46))</f>
        <v>7612.4206057227912</v>
      </c>
      <c r="E47" s="164">
        <f>IF(+I14&lt;F46,I14,D47)</f>
        <v>552.42499999999995</v>
      </c>
      <c r="F47" s="163">
        <f t="shared" si="10"/>
        <v>7059.995605722791</v>
      </c>
      <c r="G47" s="165">
        <f t="shared" si="11"/>
        <v>1397.7344633984903</v>
      </c>
      <c r="H47" s="147">
        <f t="shared" si="12"/>
        <v>1397.7344633984903</v>
      </c>
      <c r="I47" s="160">
        <f t="shared" si="0"/>
        <v>0</v>
      </c>
      <c r="J47" s="160"/>
      <c r="K47" s="335"/>
      <c r="L47" s="162">
        <f t="shared" si="2"/>
        <v>0</v>
      </c>
      <c r="M47" s="335"/>
      <c r="N47" s="162">
        <f t="shared" si="4"/>
        <v>0</v>
      </c>
      <c r="O47" s="162">
        <f t="shared" si="5"/>
        <v>0</v>
      </c>
      <c r="P47" s="4"/>
    </row>
    <row r="48" spans="2:16">
      <c r="B48" s="9" t="str">
        <f t="shared" si="6"/>
        <v/>
      </c>
      <c r="C48" s="157">
        <f>IF(D11="","-",+C47+1)</f>
        <v>2041</v>
      </c>
      <c r="D48" s="163">
        <f>IF(F47+SUM(E$17:E47)=D$10,F47,D$10-SUM(E$17:E47))</f>
        <v>7059.995605722791</v>
      </c>
      <c r="E48" s="164">
        <f>IF(+I14&lt;F47,I14,D48)</f>
        <v>552.42499999999995</v>
      </c>
      <c r="F48" s="163">
        <f t="shared" si="10"/>
        <v>6507.5706057227908</v>
      </c>
      <c r="G48" s="165">
        <f t="shared" si="11"/>
        <v>1334.0816779828695</v>
      </c>
      <c r="H48" s="147">
        <f t="shared" si="12"/>
        <v>1334.0816779828695</v>
      </c>
      <c r="I48" s="160">
        <f t="shared" si="0"/>
        <v>0</v>
      </c>
      <c r="J48" s="160"/>
      <c r="K48" s="335"/>
      <c r="L48" s="162">
        <f t="shared" si="2"/>
        <v>0</v>
      </c>
      <c r="M48" s="335"/>
      <c r="N48" s="162">
        <f t="shared" si="4"/>
        <v>0</v>
      </c>
      <c r="O48" s="162">
        <f t="shared" si="5"/>
        <v>0</v>
      </c>
      <c r="P48" s="4"/>
    </row>
    <row r="49" spans="2:16">
      <c r="B49" s="9" t="str">
        <f t="shared" si="6"/>
        <v/>
      </c>
      <c r="C49" s="157">
        <f>IF(D11="","-",+C48+1)</f>
        <v>2042</v>
      </c>
      <c r="D49" s="163">
        <f>IF(F48+SUM(E$17:E48)=D$10,F48,D$10-SUM(E$17:E48))</f>
        <v>6507.5706057227908</v>
      </c>
      <c r="E49" s="164">
        <f>IF(+I14&lt;F48,I14,D49)</f>
        <v>552.42499999999995</v>
      </c>
      <c r="F49" s="163">
        <f t="shared" ref="F49:F72" si="13">+D49-E49</f>
        <v>5955.1456057227906</v>
      </c>
      <c r="G49" s="165">
        <f t="shared" si="11"/>
        <v>1270.4288925672486</v>
      </c>
      <c r="H49" s="147">
        <f t="shared" si="12"/>
        <v>1270.4288925672486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ref="B50:B72" si="18">IF(D50=F49,"","IU")</f>
        <v/>
      </c>
      <c r="C50" s="157">
        <f>IF(D11="","-",+C49+1)</f>
        <v>2043</v>
      </c>
      <c r="D50" s="163">
        <f>IF(F49+SUM(E$17:E49)=D$10,F49,D$10-SUM(E$17:E49))</f>
        <v>5955.1456057227906</v>
      </c>
      <c r="E50" s="164">
        <f>IF(+I14&lt;F49,I14,D50)</f>
        <v>552.42499999999995</v>
      </c>
      <c r="F50" s="163">
        <f t="shared" si="13"/>
        <v>5402.7206057227904</v>
      </c>
      <c r="G50" s="165">
        <f t="shared" si="11"/>
        <v>1206.7761071516279</v>
      </c>
      <c r="H50" s="147">
        <f t="shared" si="12"/>
        <v>1206.7761071516279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18"/>
        <v/>
      </c>
      <c r="C51" s="157">
        <f>IF(D11="","-",+C50+1)</f>
        <v>2044</v>
      </c>
      <c r="D51" s="163">
        <f>IF(F50+SUM(E$17:E50)=D$10,F50,D$10-SUM(E$17:E50))</f>
        <v>5402.7206057227904</v>
      </c>
      <c r="E51" s="164">
        <f>IF(+I14&lt;F50,I14,D51)</f>
        <v>552.42499999999995</v>
      </c>
      <c r="F51" s="163">
        <f t="shared" si="13"/>
        <v>4850.2956057227902</v>
      </c>
      <c r="G51" s="165">
        <f t="shared" si="11"/>
        <v>1143.123321736007</v>
      </c>
      <c r="H51" s="147">
        <f t="shared" si="12"/>
        <v>1143.123321736007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18"/>
        <v/>
      </c>
      <c r="C52" s="157">
        <f>IF(D11="","-",+C51+1)</f>
        <v>2045</v>
      </c>
      <c r="D52" s="163">
        <f>IF(F51+SUM(E$17:E51)=D$10,F51,D$10-SUM(E$17:E51))</f>
        <v>4850.2956057227902</v>
      </c>
      <c r="E52" s="164">
        <f>IF(+I14&lt;F51,I14,D52)</f>
        <v>552.42499999999995</v>
      </c>
      <c r="F52" s="163">
        <f t="shared" si="13"/>
        <v>4297.8706057227901</v>
      </c>
      <c r="G52" s="165">
        <f t="shared" si="11"/>
        <v>1079.4705363203861</v>
      </c>
      <c r="H52" s="147">
        <f t="shared" si="12"/>
        <v>1079.4705363203861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18"/>
        <v/>
      </c>
      <c r="C53" s="157">
        <f>IF(D11="","-",+C52+1)</f>
        <v>2046</v>
      </c>
      <c r="D53" s="163">
        <f>IF(F52+SUM(E$17:E52)=D$10,F52,D$10-SUM(E$17:E52))</f>
        <v>4297.8706057227901</v>
      </c>
      <c r="E53" s="164">
        <f>IF(+I14&lt;F52,I14,D53)</f>
        <v>552.42499999999995</v>
      </c>
      <c r="F53" s="163">
        <f t="shared" si="13"/>
        <v>3745.4456057227899</v>
      </c>
      <c r="G53" s="165">
        <f t="shared" si="11"/>
        <v>1015.8177509047653</v>
      </c>
      <c r="H53" s="147">
        <f t="shared" si="12"/>
        <v>1015.8177509047653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18"/>
        <v/>
      </c>
      <c r="C54" s="157">
        <f>IF(D11="","-",+C53+1)</f>
        <v>2047</v>
      </c>
      <c r="D54" s="163">
        <f>IF(F53+SUM(E$17:E53)=D$10,F53,D$10-SUM(E$17:E53))</f>
        <v>3745.4456057227899</v>
      </c>
      <c r="E54" s="164">
        <f>IF(+I14&lt;F53,I14,D54)</f>
        <v>552.42499999999995</v>
      </c>
      <c r="F54" s="163">
        <f t="shared" si="13"/>
        <v>3193.0206057227897</v>
      </c>
      <c r="G54" s="165">
        <f t="shared" si="11"/>
        <v>952.16496548914438</v>
      </c>
      <c r="H54" s="147">
        <f t="shared" si="12"/>
        <v>952.16496548914438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18"/>
        <v/>
      </c>
      <c r="C55" s="157">
        <f>IF(D11="","-",+C54+1)</f>
        <v>2048</v>
      </c>
      <c r="D55" s="163">
        <f>IF(F54+SUM(E$17:E54)=D$10,F54,D$10-SUM(E$17:E54))</f>
        <v>3193.0206057227897</v>
      </c>
      <c r="E55" s="164">
        <f>IF(+I14&lt;F54,I14,D55)</f>
        <v>552.42499999999995</v>
      </c>
      <c r="F55" s="163">
        <f t="shared" si="13"/>
        <v>2640.5956057227895</v>
      </c>
      <c r="G55" s="165">
        <f t="shared" si="11"/>
        <v>888.5121800735235</v>
      </c>
      <c r="H55" s="147">
        <f t="shared" si="12"/>
        <v>888.5121800735235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18"/>
        <v/>
      </c>
      <c r="C56" s="157">
        <f>IF(D11="","-",+C55+1)</f>
        <v>2049</v>
      </c>
      <c r="D56" s="163">
        <f>IF(F55+SUM(E$17:E55)=D$10,F55,D$10-SUM(E$17:E55))</f>
        <v>2640.5956057227895</v>
      </c>
      <c r="E56" s="164">
        <f>IF(+I14&lt;F55,I14,D56)</f>
        <v>552.42499999999995</v>
      </c>
      <c r="F56" s="163">
        <f t="shared" si="13"/>
        <v>2088.1706057227893</v>
      </c>
      <c r="G56" s="165">
        <f t="shared" si="11"/>
        <v>824.85939465790261</v>
      </c>
      <c r="H56" s="147">
        <f t="shared" si="12"/>
        <v>824.85939465790261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18"/>
        <v/>
      </c>
      <c r="C57" s="157">
        <f>IF(D11="","-",+C56+1)</f>
        <v>2050</v>
      </c>
      <c r="D57" s="163">
        <f>IF(F56+SUM(E$17:E56)=D$10,F56,D$10-SUM(E$17:E56))</f>
        <v>2088.1706057227893</v>
      </c>
      <c r="E57" s="164">
        <f>IF(+I14&lt;F56,I14,D57)</f>
        <v>552.42499999999995</v>
      </c>
      <c r="F57" s="163">
        <f t="shared" si="13"/>
        <v>1535.7456057227894</v>
      </c>
      <c r="G57" s="165">
        <f t="shared" si="11"/>
        <v>761.20660924228173</v>
      </c>
      <c r="H57" s="147">
        <f t="shared" si="12"/>
        <v>761.20660924228173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18"/>
        <v/>
      </c>
      <c r="C58" s="157">
        <f>IF(D11="","-",+C57+1)</f>
        <v>2051</v>
      </c>
      <c r="D58" s="163">
        <f>IF(F57+SUM(E$17:E57)=D$10,F57,D$10-SUM(E$17:E57))</f>
        <v>1535.7456057227894</v>
      </c>
      <c r="E58" s="164">
        <f>IF(+I14&lt;F57,I14,D58)</f>
        <v>552.42499999999995</v>
      </c>
      <c r="F58" s="163">
        <f t="shared" si="13"/>
        <v>983.32060572278942</v>
      </c>
      <c r="G58" s="165">
        <f t="shared" si="11"/>
        <v>697.55382382666096</v>
      </c>
      <c r="H58" s="147">
        <f t="shared" si="12"/>
        <v>697.55382382666096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18"/>
        <v/>
      </c>
      <c r="C59" s="157">
        <f>IF(D11="","-",+C58+1)</f>
        <v>2052</v>
      </c>
      <c r="D59" s="163">
        <f>IF(F58+SUM(E$17:E58)=D$10,F58,D$10-SUM(E$17:E58))</f>
        <v>983.32060572278942</v>
      </c>
      <c r="E59" s="164">
        <f>IF(+I14&lt;F58,I14,D59)</f>
        <v>552.42499999999995</v>
      </c>
      <c r="F59" s="163">
        <f t="shared" si="13"/>
        <v>430.89560572278947</v>
      </c>
      <c r="G59" s="165">
        <f t="shared" si="11"/>
        <v>633.90103841104008</v>
      </c>
      <c r="H59" s="147">
        <f t="shared" si="12"/>
        <v>633.90103841104008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18"/>
        <v/>
      </c>
      <c r="C60" s="157">
        <f>IF(D11="","-",+C59+1)</f>
        <v>2053</v>
      </c>
      <c r="D60" s="163">
        <f>IF(F59+SUM(E$17:E59)=D$10,F59,D$10-SUM(E$17:E59))</f>
        <v>430.89560572278947</v>
      </c>
      <c r="E60" s="164">
        <f>IF(+I14&lt;F59,I14,D60)</f>
        <v>430.89560572278947</v>
      </c>
      <c r="F60" s="163">
        <f t="shared" si="13"/>
        <v>0</v>
      </c>
      <c r="G60" s="165">
        <f t="shared" si="11"/>
        <v>455.72042857440431</v>
      </c>
      <c r="H60" s="147">
        <f t="shared" si="12"/>
        <v>455.72042857440431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18"/>
        <v/>
      </c>
      <c r="C61" s="157">
        <f>IF(D11="","-",+C60+1)</f>
        <v>2054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18"/>
        <v/>
      </c>
      <c r="C62" s="157">
        <f>IF(D11="","-",+C61+1)</f>
        <v>2055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18"/>
        <v/>
      </c>
      <c r="C63" s="157">
        <f>IF(D11="","-",+C62+1)</f>
        <v>2056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18"/>
        <v/>
      </c>
      <c r="C64" s="157">
        <f>IF(D11="","-",+C63+1)</f>
        <v>2057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18"/>
        <v/>
      </c>
      <c r="C65" s="157">
        <f>IF(D11="","-",+C64+1)</f>
        <v>2058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18"/>
        <v/>
      </c>
      <c r="C66" s="157">
        <f>IF(D11="","-",+C65+1)</f>
        <v>2059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18"/>
        <v/>
      </c>
      <c r="C67" s="157">
        <f>IF(D11="","-",+C66+1)</f>
        <v>2060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18"/>
        <v/>
      </c>
      <c r="C68" s="157">
        <f>IF(D11="","-",+C67+1)</f>
        <v>2061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18"/>
        <v/>
      </c>
      <c r="C69" s="157">
        <f>IF(D11="","-",+C68+1)</f>
        <v>2062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18"/>
        <v/>
      </c>
      <c r="C70" s="157">
        <f>IF(D11="","-",+C69+1)</f>
        <v>2063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18"/>
        <v/>
      </c>
      <c r="C71" s="157">
        <f>IF(D11="","-",+C70+1)</f>
        <v>2064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18"/>
        <v/>
      </c>
      <c r="C72" s="168">
        <f>IF(D11="","-",+C71+1)</f>
        <v>2065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22096.999999999993</v>
      </c>
      <c r="F73" s="115"/>
      <c r="G73" s="115">
        <f>SUM(G17:G72)</f>
        <v>79935.069929352307</v>
      </c>
      <c r="H73" s="115">
        <f>SUM(H17:H72)</f>
        <v>79935.069929352307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13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2988.3695652173915</v>
      </c>
      <c r="N87" s="202">
        <f>IF(J92&lt;D11,0,VLOOKUP(J92,C17:O72,11))</f>
        <v>2988.3695652173915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3003.0332263920673</v>
      </c>
      <c r="N88" s="204">
        <f>IF(J92&lt;D11,0,VLOOKUP(J92,C99:P154,7))</f>
        <v>3003.0332263920673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CoffeyvilleT to Dearing 138 kv Rebuild - 1.1 mi*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14.663661174675781</v>
      </c>
      <c r="N89" s="207">
        <f>+N88-N87</f>
        <v>14.663661174675781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TP2008013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22097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2010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480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410">
        <f>D93</f>
        <v>2010</v>
      </c>
      <c r="D99" s="411">
        <v>0</v>
      </c>
      <c r="E99" s="413">
        <v>0</v>
      </c>
      <c r="F99" s="413">
        <v>0</v>
      </c>
      <c r="G99" s="413">
        <v>0</v>
      </c>
      <c r="H99" s="414">
        <v>0</v>
      </c>
      <c r="I99" s="413">
        <v>0</v>
      </c>
      <c r="J99" s="415">
        <v>0</v>
      </c>
      <c r="K99" s="162"/>
      <c r="L99" s="384">
        <f t="shared" ref="L99:L104" si="19">H99</f>
        <v>0</v>
      </c>
      <c r="M99" s="385">
        <f t="shared" ref="M99:M104" si="20">IF(L99&lt;&gt;0,+H99-L99,0)</f>
        <v>0</v>
      </c>
      <c r="N99" s="384">
        <f t="shared" ref="N99:N104" si="21">I99</f>
        <v>0</v>
      </c>
      <c r="O99" s="161">
        <f t="shared" ref="O99:O104" si="22">IF(N99&lt;&gt;0,+I99-N99,0)</f>
        <v>0</v>
      </c>
      <c r="P99" s="161">
        <f t="shared" ref="P99:P104" si="23">+O99-M99</f>
        <v>0</v>
      </c>
    </row>
    <row r="100" spans="1:16">
      <c r="C100" s="157">
        <f>IF(D91="","-",+C99+1)</f>
        <v>2011</v>
      </c>
      <c r="D100" s="412">
        <v>0</v>
      </c>
      <c r="E100" s="416">
        <v>0</v>
      </c>
      <c r="F100" s="416">
        <v>0</v>
      </c>
      <c r="G100" s="416">
        <v>0</v>
      </c>
      <c r="H100" s="417">
        <v>0</v>
      </c>
      <c r="I100" s="416">
        <v>0</v>
      </c>
      <c r="J100" s="418">
        <v>0</v>
      </c>
      <c r="K100" s="162"/>
      <c r="L100" s="380">
        <f t="shared" si="19"/>
        <v>0</v>
      </c>
      <c r="M100" s="381">
        <f t="shared" si="20"/>
        <v>0</v>
      </c>
      <c r="N100" s="380">
        <f t="shared" si="21"/>
        <v>0</v>
      </c>
      <c r="O100" s="162">
        <f t="shared" si="22"/>
        <v>0</v>
      </c>
      <c r="P100" s="162">
        <f t="shared" si="23"/>
        <v>0</v>
      </c>
    </row>
    <row r="101" spans="1:16">
      <c r="C101" s="157">
        <f>IF(D92="","-",+C100+1)</f>
        <v>2012</v>
      </c>
      <c r="D101" s="420">
        <v>22097</v>
      </c>
      <c r="E101" s="421">
        <v>212.5</v>
      </c>
      <c r="F101" s="422">
        <v>21884.5</v>
      </c>
      <c r="G101" s="422">
        <v>21990.75</v>
      </c>
      <c r="H101" s="423">
        <v>3375.9899363381005</v>
      </c>
      <c r="I101" s="424">
        <v>3375.9899363381005</v>
      </c>
      <c r="J101" s="162">
        <v>0</v>
      </c>
      <c r="K101" s="162"/>
      <c r="L101" s="380">
        <f t="shared" si="19"/>
        <v>3375.9899363381005</v>
      </c>
      <c r="M101" s="381">
        <f t="shared" si="20"/>
        <v>0</v>
      </c>
      <c r="N101" s="380">
        <f t="shared" si="21"/>
        <v>3375.9899363381005</v>
      </c>
      <c r="O101" s="162">
        <f t="shared" si="22"/>
        <v>0</v>
      </c>
      <c r="P101" s="162">
        <f t="shared" si="23"/>
        <v>0</v>
      </c>
    </row>
    <row r="102" spans="1:16">
      <c r="B102" s="9" t="str">
        <f t="shared" ref="B102:B133" si="24">IF(D102=F101,"","IU")</f>
        <v/>
      </c>
      <c r="C102" s="157">
        <f>IF(D93="","-",+C101+1)</f>
        <v>2013</v>
      </c>
      <c r="D102" s="420">
        <v>21884.5</v>
      </c>
      <c r="E102" s="421">
        <v>425</v>
      </c>
      <c r="F102" s="422">
        <v>21459.5</v>
      </c>
      <c r="G102" s="422">
        <v>21672</v>
      </c>
      <c r="H102" s="423">
        <v>3544.458879858515</v>
      </c>
      <c r="I102" s="424">
        <v>3544.458879858515</v>
      </c>
      <c r="J102" s="162">
        <v>0</v>
      </c>
      <c r="K102" s="162"/>
      <c r="L102" s="380">
        <f t="shared" si="19"/>
        <v>3544.458879858515</v>
      </c>
      <c r="M102" s="381">
        <f t="shared" si="20"/>
        <v>0</v>
      </c>
      <c r="N102" s="380">
        <f t="shared" si="21"/>
        <v>3544.458879858515</v>
      </c>
      <c r="O102" s="162">
        <f t="shared" si="22"/>
        <v>0</v>
      </c>
      <c r="P102" s="162">
        <f t="shared" si="23"/>
        <v>0</v>
      </c>
    </row>
    <row r="103" spans="1:16">
      <c r="B103" s="9" t="str">
        <f t="shared" si="24"/>
        <v/>
      </c>
      <c r="C103" s="157">
        <f>IF(D93="","-",+C102+1)</f>
        <v>2014</v>
      </c>
      <c r="D103" s="420">
        <v>21459.5</v>
      </c>
      <c r="E103" s="421">
        <v>425</v>
      </c>
      <c r="F103" s="422">
        <v>21034.5</v>
      </c>
      <c r="G103" s="422">
        <v>21247</v>
      </c>
      <c r="H103" s="423">
        <v>3412.2413474199548</v>
      </c>
      <c r="I103" s="424">
        <v>3412.2413474199548</v>
      </c>
      <c r="J103" s="162">
        <v>0</v>
      </c>
      <c r="K103" s="162"/>
      <c r="L103" s="380">
        <f t="shared" si="19"/>
        <v>3412.2413474199548</v>
      </c>
      <c r="M103" s="381">
        <f t="shared" si="20"/>
        <v>0</v>
      </c>
      <c r="N103" s="380">
        <f t="shared" si="21"/>
        <v>3412.2413474199548</v>
      </c>
      <c r="O103" s="162">
        <f t="shared" si="22"/>
        <v>0</v>
      </c>
      <c r="P103" s="162">
        <f t="shared" si="23"/>
        <v>0</v>
      </c>
    </row>
    <row r="104" spans="1:16">
      <c r="B104" s="9" t="str">
        <f t="shared" si="24"/>
        <v/>
      </c>
      <c r="C104" s="157">
        <f>IF(D93="","-",+C103+1)</f>
        <v>2015</v>
      </c>
      <c r="D104" s="420">
        <v>21034.5</v>
      </c>
      <c r="E104" s="421">
        <v>425</v>
      </c>
      <c r="F104" s="422">
        <v>20609.5</v>
      </c>
      <c r="G104" s="422">
        <v>20822</v>
      </c>
      <c r="H104" s="423">
        <v>3265.9944828697971</v>
      </c>
      <c r="I104" s="424">
        <v>3265.9944828697971</v>
      </c>
      <c r="J104" s="162">
        <f t="shared" ref="J104:J132" si="25">+I104-H104</f>
        <v>0</v>
      </c>
      <c r="K104" s="162"/>
      <c r="L104" s="380">
        <f t="shared" si="19"/>
        <v>3265.9944828697971</v>
      </c>
      <c r="M104" s="381">
        <f t="shared" si="20"/>
        <v>0</v>
      </c>
      <c r="N104" s="380">
        <f t="shared" si="21"/>
        <v>3265.9944828697971</v>
      </c>
      <c r="O104" s="162">
        <f t="shared" si="22"/>
        <v>0</v>
      </c>
      <c r="P104" s="162">
        <f t="shared" si="23"/>
        <v>0</v>
      </c>
    </row>
    <row r="105" spans="1:16">
      <c r="B105" s="9" t="str">
        <f t="shared" si="24"/>
        <v/>
      </c>
      <c r="C105" s="157">
        <f>IF(D93="","-",+C104+1)</f>
        <v>2016</v>
      </c>
      <c r="D105" s="420">
        <v>20609.5</v>
      </c>
      <c r="E105" s="421">
        <v>480</v>
      </c>
      <c r="F105" s="422">
        <v>20129.5</v>
      </c>
      <c r="G105" s="422">
        <v>20369.5</v>
      </c>
      <c r="H105" s="423">
        <v>3105.9493466960757</v>
      </c>
      <c r="I105" s="424">
        <v>3105.9493466960757</v>
      </c>
      <c r="J105" s="162">
        <v>0</v>
      </c>
      <c r="K105" s="162"/>
      <c r="L105" s="380">
        <f>H105</f>
        <v>3105.9493466960757</v>
      </c>
      <c r="M105" s="381">
        <f>IF(L105&lt;&gt;0,+H105-L105,0)</f>
        <v>0</v>
      </c>
      <c r="N105" s="380">
        <f>I105</f>
        <v>3105.9493466960757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4"/>
        <v/>
      </c>
      <c r="C106" s="157">
        <f>IF(D93="","-",+C105+1)</f>
        <v>2017</v>
      </c>
      <c r="D106" s="158">
        <f>IF(F105+SUM(E$101:E105)=D$92,F105,D$92-SUM(E$101:E105))</f>
        <v>20129.5</v>
      </c>
      <c r="E106" s="164">
        <f>IF(+J96&lt;F105,J96,D106)</f>
        <v>480</v>
      </c>
      <c r="F106" s="163">
        <f t="shared" ref="F106:F133" si="26">+D106-E106</f>
        <v>19649.5</v>
      </c>
      <c r="G106" s="163">
        <f t="shared" ref="G106:G132" si="27">+(F106+D106)/2</f>
        <v>19889.5</v>
      </c>
      <c r="H106" s="167">
        <f t="shared" ref="H106:H132" si="28">+J$94*G106+E106</f>
        <v>3003.0332263920673</v>
      </c>
      <c r="I106" s="317">
        <f t="shared" ref="I106:I132" si="29">+J$95*G106+E106</f>
        <v>3003.0332263920673</v>
      </c>
      <c r="J106" s="162">
        <f t="shared" si="25"/>
        <v>0</v>
      </c>
      <c r="K106" s="162"/>
      <c r="L106" s="335"/>
      <c r="M106" s="162">
        <f t="shared" ref="M106:M130" si="30">IF(L106&lt;&gt;0,+H108-L106,0)</f>
        <v>0</v>
      </c>
      <c r="N106" s="335"/>
      <c r="O106" s="162">
        <f t="shared" ref="O106:O130" si="31">IF(N106&lt;&gt;0,+I108-N106,0)</f>
        <v>0</v>
      </c>
      <c r="P106" s="162">
        <f t="shared" ref="P106:P130" si="32">+O106-M106</f>
        <v>0</v>
      </c>
    </row>
    <row r="107" spans="1:16">
      <c r="B107" s="9" t="str">
        <f t="shared" si="24"/>
        <v/>
      </c>
      <c r="C107" s="157">
        <f>IF(D93="","-",+C106+1)</f>
        <v>2018</v>
      </c>
      <c r="D107" s="158">
        <f>IF(F106+SUM(E$101:E106)=D$92,F106,D$92-SUM(E$101:E106))</f>
        <v>19649.5</v>
      </c>
      <c r="E107" s="164">
        <f>IF(+J96&lt;F106,J96,D107)</f>
        <v>480</v>
      </c>
      <c r="F107" s="163">
        <f t="shared" si="26"/>
        <v>19169.5</v>
      </c>
      <c r="G107" s="163">
        <f t="shared" si="27"/>
        <v>19409.5</v>
      </c>
      <c r="H107" s="167">
        <f t="shared" si="28"/>
        <v>2942.1440160716375</v>
      </c>
      <c r="I107" s="317">
        <f t="shared" si="29"/>
        <v>2942.1440160716375</v>
      </c>
      <c r="J107" s="162">
        <f t="shared" si="25"/>
        <v>0</v>
      </c>
      <c r="K107" s="162"/>
      <c r="L107" s="335"/>
      <c r="M107" s="162">
        <f t="shared" si="30"/>
        <v>0</v>
      </c>
      <c r="N107" s="335"/>
      <c r="O107" s="162">
        <f t="shared" si="31"/>
        <v>0</v>
      </c>
      <c r="P107" s="162">
        <f t="shared" si="32"/>
        <v>0</v>
      </c>
    </row>
    <row r="108" spans="1:16">
      <c r="B108" s="9" t="str">
        <f t="shared" si="24"/>
        <v/>
      </c>
      <c r="C108" s="157">
        <f>IF(D93="","-",+C107+1)</f>
        <v>2019</v>
      </c>
      <c r="D108" s="158">
        <f>IF(F107+SUM(E$101:E107)=D$92,F107,D$92-SUM(E$101:E107))</f>
        <v>19169.5</v>
      </c>
      <c r="E108" s="164">
        <f>IF(+J96&lt;F107,J96,D108)</f>
        <v>480</v>
      </c>
      <c r="F108" s="163">
        <f t="shared" si="26"/>
        <v>18689.5</v>
      </c>
      <c r="G108" s="163">
        <f t="shared" si="27"/>
        <v>18929.5</v>
      </c>
      <c r="H108" s="167">
        <f t="shared" si="28"/>
        <v>2881.2548057512076</v>
      </c>
      <c r="I108" s="317">
        <f t="shared" si="29"/>
        <v>2881.2548057512076</v>
      </c>
      <c r="J108" s="162">
        <f t="shared" si="25"/>
        <v>0</v>
      </c>
      <c r="K108" s="162"/>
      <c r="L108" s="335"/>
      <c r="M108" s="162">
        <f t="shared" si="30"/>
        <v>0</v>
      </c>
      <c r="N108" s="335"/>
      <c r="O108" s="162">
        <f t="shared" si="31"/>
        <v>0</v>
      </c>
      <c r="P108" s="162">
        <f t="shared" si="32"/>
        <v>0</v>
      </c>
    </row>
    <row r="109" spans="1:16">
      <c r="B109" s="9" t="str">
        <f t="shared" si="24"/>
        <v/>
      </c>
      <c r="C109" s="157">
        <f>IF(D93="","-",+C108+1)</f>
        <v>2020</v>
      </c>
      <c r="D109" s="158">
        <f>IF(F108+SUM(E$101:E108)=D$92,F108,D$92-SUM(E$101:E108))</f>
        <v>18689.5</v>
      </c>
      <c r="E109" s="165">
        <f>IF(+J96&lt;F108,J96,D109)</f>
        <v>480</v>
      </c>
      <c r="F109" s="163">
        <f t="shared" si="26"/>
        <v>18209.5</v>
      </c>
      <c r="G109" s="163">
        <f t="shared" si="27"/>
        <v>18449.5</v>
      </c>
      <c r="H109" s="167">
        <f t="shared" si="28"/>
        <v>2820.3655954307774</v>
      </c>
      <c r="I109" s="317">
        <f t="shared" si="29"/>
        <v>2820.3655954307774</v>
      </c>
      <c r="J109" s="162">
        <f t="shared" si="25"/>
        <v>0</v>
      </c>
      <c r="K109" s="162"/>
      <c r="L109" s="335"/>
      <c r="M109" s="162">
        <f t="shared" si="30"/>
        <v>0</v>
      </c>
      <c r="N109" s="335"/>
      <c r="O109" s="162">
        <f t="shared" si="31"/>
        <v>0</v>
      </c>
      <c r="P109" s="162">
        <f t="shared" si="32"/>
        <v>0</v>
      </c>
    </row>
    <row r="110" spans="1:16">
      <c r="B110" s="9" t="str">
        <f t="shared" si="24"/>
        <v/>
      </c>
      <c r="C110" s="157">
        <f>IF(D93="","-",+C109+1)</f>
        <v>2021</v>
      </c>
      <c r="D110" s="158">
        <f>IF(F109+SUM(E$101:E109)=D$92,F109,D$92-SUM(E$101:E109))</f>
        <v>18209.5</v>
      </c>
      <c r="E110" s="165">
        <f>IF(+J96&lt;F109,J96,D110)</f>
        <v>480</v>
      </c>
      <c r="F110" s="163">
        <f t="shared" si="26"/>
        <v>17729.5</v>
      </c>
      <c r="G110" s="163">
        <f t="shared" si="27"/>
        <v>17969.5</v>
      </c>
      <c r="H110" s="167">
        <f t="shared" si="28"/>
        <v>2759.4763851103476</v>
      </c>
      <c r="I110" s="317">
        <f t="shared" si="29"/>
        <v>2759.4763851103476</v>
      </c>
      <c r="J110" s="162">
        <f t="shared" si="25"/>
        <v>0</v>
      </c>
      <c r="K110" s="162"/>
      <c r="L110" s="335"/>
      <c r="M110" s="162">
        <f t="shared" si="30"/>
        <v>0</v>
      </c>
      <c r="N110" s="335"/>
      <c r="O110" s="162">
        <f t="shared" si="31"/>
        <v>0</v>
      </c>
      <c r="P110" s="162">
        <f t="shared" si="32"/>
        <v>0</v>
      </c>
    </row>
    <row r="111" spans="1:16">
      <c r="B111" s="9" t="str">
        <f t="shared" si="24"/>
        <v/>
      </c>
      <c r="C111" s="157">
        <f>IF(D93="","-",+C110+1)</f>
        <v>2022</v>
      </c>
      <c r="D111" s="158">
        <f>IF(F110+SUM(E$101:E110)=D$92,F110,D$92-SUM(E$101:E110))</f>
        <v>17729.5</v>
      </c>
      <c r="E111" s="165">
        <f>IF(+J96&lt;F110,J96,D111)</f>
        <v>480</v>
      </c>
      <c r="F111" s="163">
        <f t="shared" si="26"/>
        <v>17249.5</v>
      </c>
      <c r="G111" s="163">
        <f t="shared" si="27"/>
        <v>17489.5</v>
      </c>
      <c r="H111" s="167">
        <f t="shared" si="28"/>
        <v>2698.5871747899173</v>
      </c>
      <c r="I111" s="317">
        <f t="shared" si="29"/>
        <v>2698.5871747899173</v>
      </c>
      <c r="J111" s="162">
        <f t="shared" si="25"/>
        <v>0</v>
      </c>
      <c r="K111" s="162"/>
      <c r="L111" s="335"/>
      <c r="M111" s="162">
        <f t="shared" si="30"/>
        <v>0</v>
      </c>
      <c r="N111" s="335"/>
      <c r="O111" s="162">
        <f t="shared" si="31"/>
        <v>0</v>
      </c>
      <c r="P111" s="162">
        <f t="shared" si="32"/>
        <v>0</v>
      </c>
    </row>
    <row r="112" spans="1:16">
      <c r="B112" s="9" t="str">
        <f t="shared" si="24"/>
        <v/>
      </c>
      <c r="C112" s="157">
        <f>IF(D93="","-",+C111+1)</f>
        <v>2023</v>
      </c>
      <c r="D112" s="158">
        <f>IF(F111+SUM(E$101:E111)=D$92,F111,D$92-SUM(E$101:E111))</f>
        <v>17249.5</v>
      </c>
      <c r="E112" s="165">
        <f>IF(+J96&lt;F111,J96,D112)</f>
        <v>480</v>
      </c>
      <c r="F112" s="163">
        <f t="shared" si="26"/>
        <v>16769.5</v>
      </c>
      <c r="G112" s="163">
        <f t="shared" si="27"/>
        <v>17009.5</v>
      </c>
      <c r="H112" s="167">
        <f t="shared" si="28"/>
        <v>2637.6979644694875</v>
      </c>
      <c r="I112" s="317">
        <f t="shared" si="29"/>
        <v>2637.6979644694875</v>
      </c>
      <c r="J112" s="162">
        <f t="shared" si="25"/>
        <v>0</v>
      </c>
      <c r="K112" s="162"/>
      <c r="L112" s="335"/>
      <c r="M112" s="162">
        <f t="shared" si="30"/>
        <v>0</v>
      </c>
      <c r="N112" s="335"/>
      <c r="O112" s="162">
        <f t="shared" si="31"/>
        <v>0</v>
      </c>
      <c r="P112" s="162">
        <f t="shared" si="32"/>
        <v>0</v>
      </c>
    </row>
    <row r="113" spans="2:16">
      <c r="B113" s="9" t="str">
        <f t="shared" si="24"/>
        <v/>
      </c>
      <c r="C113" s="157">
        <f>IF(D93="","-",+C112+1)</f>
        <v>2024</v>
      </c>
      <c r="D113" s="158">
        <f>IF(F112+SUM(E$101:E112)=D$92,F112,D$92-SUM(E$101:E112))</f>
        <v>16769.5</v>
      </c>
      <c r="E113" s="165">
        <f>IF(+J96&lt;F112,J96,D113)</f>
        <v>480</v>
      </c>
      <c r="F113" s="163">
        <f t="shared" si="26"/>
        <v>16289.5</v>
      </c>
      <c r="G113" s="163">
        <f t="shared" si="27"/>
        <v>16529.5</v>
      </c>
      <c r="H113" s="167">
        <f t="shared" si="28"/>
        <v>2576.8087541490577</v>
      </c>
      <c r="I113" s="317">
        <f t="shared" si="29"/>
        <v>2576.8087541490577</v>
      </c>
      <c r="J113" s="162">
        <f t="shared" si="25"/>
        <v>0</v>
      </c>
      <c r="K113" s="162"/>
      <c r="L113" s="335"/>
      <c r="M113" s="162">
        <f t="shared" si="30"/>
        <v>0</v>
      </c>
      <c r="N113" s="335"/>
      <c r="O113" s="162">
        <f t="shared" si="31"/>
        <v>0</v>
      </c>
      <c r="P113" s="162">
        <f t="shared" si="32"/>
        <v>0</v>
      </c>
    </row>
    <row r="114" spans="2:16">
      <c r="B114" s="9" t="str">
        <f t="shared" si="24"/>
        <v/>
      </c>
      <c r="C114" s="157">
        <f>IF(D93="","-",+C113+1)</f>
        <v>2025</v>
      </c>
      <c r="D114" s="158">
        <f>IF(F113+SUM(E$101:E113)=D$92,F113,D$92-SUM(E$101:E113))</f>
        <v>16289.5</v>
      </c>
      <c r="E114" s="165">
        <f>IF(+J96&lt;F113,J96,D114)</f>
        <v>480</v>
      </c>
      <c r="F114" s="163">
        <f t="shared" si="26"/>
        <v>15809.5</v>
      </c>
      <c r="G114" s="163">
        <f t="shared" si="27"/>
        <v>16049.5</v>
      </c>
      <c r="H114" s="167">
        <f t="shared" si="28"/>
        <v>2515.9195438286274</v>
      </c>
      <c r="I114" s="317">
        <f t="shared" si="29"/>
        <v>2515.9195438286274</v>
      </c>
      <c r="J114" s="162">
        <f t="shared" si="25"/>
        <v>0</v>
      </c>
      <c r="K114" s="162"/>
      <c r="L114" s="335"/>
      <c r="M114" s="162">
        <f t="shared" si="30"/>
        <v>0</v>
      </c>
      <c r="N114" s="335"/>
      <c r="O114" s="162">
        <f t="shared" si="31"/>
        <v>0</v>
      </c>
      <c r="P114" s="162">
        <f t="shared" si="32"/>
        <v>0</v>
      </c>
    </row>
    <row r="115" spans="2:16">
      <c r="B115" s="9" t="str">
        <f t="shared" si="24"/>
        <v/>
      </c>
      <c r="C115" s="157">
        <f>IF(D93="","-",+C114+1)</f>
        <v>2026</v>
      </c>
      <c r="D115" s="158">
        <f>IF(F114+SUM(E$101:E114)=D$92,F114,D$92-SUM(E$101:E114))</f>
        <v>15809.5</v>
      </c>
      <c r="E115" s="165">
        <f>IF(+J96&lt;F114,J96,D115)</f>
        <v>480</v>
      </c>
      <c r="F115" s="163">
        <f t="shared" si="26"/>
        <v>15329.5</v>
      </c>
      <c r="G115" s="163">
        <f t="shared" si="27"/>
        <v>15569.5</v>
      </c>
      <c r="H115" s="167">
        <f t="shared" si="28"/>
        <v>2455.0303335081971</v>
      </c>
      <c r="I115" s="317">
        <f t="shared" si="29"/>
        <v>2455.0303335081971</v>
      </c>
      <c r="J115" s="162">
        <f t="shared" si="25"/>
        <v>0</v>
      </c>
      <c r="K115" s="162"/>
      <c r="L115" s="335"/>
      <c r="M115" s="162">
        <f t="shared" si="30"/>
        <v>0</v>
      </c>
      <c r="N115" s="335"/>
      <c r="O115" s="162">
        <f t="shared" si="31"/>
        <v>0</v>
      </c>
      <c r="P115" s="162">
        <f t="shared" si="32"/>
        <v>0</v>
      </c>
    </row>
    <row r="116" spans="2:16">
      <c r="B116" s="9" t="str">
        <f t="shared" si="24"/>
        <v/>
      </c>
      <c r="C116" s="157">
        <f>IF(D93="","-",+C115+1)</f>
        <v>2027</v>
      </c>
      <c r="D116" s="158">
        <f>IF(F115+SUM(E$101:E115)=D$92,F115,D$92-SUM(E$101:E115))</f>
        <v>15329.5</v>
      </c>
      <c r="E116" s="165">
        <f>IF(+J96&lt;F115,J96,D116)</f>
        <v>480</v>
      </c>
      <c r="F116" s="163">
        <f t="shared" si="26"/>
        <v>14849.5</v>
      </c>
      <c r="G116" s="163">
        <f t="shared" si="27"/>
        <v>15089.5</v>
      </c>
      <c r="H116" s="167">
        <f t="shared" si="28"/>
        <v>2394.1411231877673</v>
      </c>
      <c r="I116" s="317">
        <f t="shared" si="29"/>
        <v>2394.1411231877673</v>
      </c>
      <c r="J116" s="162">
        <f t="shared" si="25"/>
        <v>0</v>
      </c>
      <c r="K116" s="162"/>
      <c r="L116" s="335"/>
      <c r="M116" s="162">
        <f t="shared" si="30"/>
        <v>0</v>
      </c>
      <c r="N116" s="335"/>
      <c r="O116" s="162">
        <f t="shared" si="31"/>
        <v>0</v>
      </c>
      <c r="P116" s="162">
        <f t="shared" si="32"/>
        <v>0</v>
      </c>
    </row>
    <row r="117" spans="2:16">
      <c r="B117" s="9" t="str">
        <f t="shared" si="24"/>
        <v/>
      </c>
      <c r="C117" s="157">
        <f>IF(D93="","-",+C116+1)</f>
        <v>2028</v>
      </c>
      <c r="D117" s="158">
        <f>IF(F116+SUM(E$101:E116)=D$92,F116,D$92-SUM(E$101:E116))</f>
        <v>14849.5</v>
      </c>
      <c r="E117" s="165">
        <f>IF(+J96&lt;F116,J96,D117)</f>
        <v>480</v>
      </c>
      <c r="F117" s="163">
        <f t="shared" si="26"/>
        <v>14369.5</v>
      </c>
      <c r="G117" s="163">
        <f t="shared" si="27"/>
        <v>14609.5</v>
      </c>
      <c r="H117" s="167">
        <f t="shared" si="28"/>
        <v>2333.2519128673375</v>
      </c>
      <c r="I117" s="317">
        <f t="shared" si="29"/>
        <v>2333.2519128673375</v>
      </c>
      <c r="J117" s="162">
        <f t="shared" si="25"/>
        <v>0</v>
      </c>
      <c r="K117" s="162"/>
      <c r="L117" s="335"/>
      <c r="M117" s="162">
        <f t="shared" si="30"/>
        <v>0</v>
      </c>
      <c r="N117" s="335"/>
      <c r="O117" s="162">
        <f t="shared" si="31"/>
        <v>0</v>
      </c>
      <c r="P117" s="162">
        <f t="shared" si="32"/>
        <v>0</v>
      </c>
    </row>
    <row r="118" spans="2:16">
      <c r="B118" s="9" t="str">
        <f t="shared" si="24"/>
        <v/>
      </c>
      <c r="C118" s="157">
        <f>IF(D93="","-",+C117+1)</f>
        <v>2029</v>
      </c>
      <c r="D118" s="158">
        <f>IF(F117+SUM(E$101:E117)=D$92,F117,D$92-SUM(E$101:E117))</f>
        <v>14369.5</v>
      </c>
      <c r="E118" s="165">
        <f>IF(+J96&lt;F117,J96,D118)</f>
        <v>480</v>
      </c>
      <c r="F118" s="163">
        <f t="shared" si="26"/>
        <v>13889.5</v>
      </c>
      <c r="G118" s="163">
        <f t="shared" si="27"/>
        <v>14129.5</v>
      </c>
      <c r="H118" s="167">
        <f t="shared" si="28"/>
        <v>2272.3627025469077</v>
      </c>
      <c r="I118" s="317">
        <f t="shared" si="29"/>
        <v>2272.3627025469077</v>
      </c>
      <c r="J118" s="162">
        <f t="shared" si="25"/>
        <v>0</v>
      </c>
      <c r="K118" s="162"/>
      <c r="L118" s="335"/>
      <c r="M118" s="162">
        <f t="shared" si="30"/>
        <v>0</v>
      </c>
      <c r="N118" s="335"/>
      <c r="O118" s="162">
        <f t="shared" si="31"/>
        <v>0</v>
      </c>
      <c r="P118" s="162">
        <f t="shared" si="32"/>
        <v>0</v>
      </c>
    </row>
    <row r="119" spans="2:16">
      <c r="B119" s="9" t="str">
        <f t="shared" si="24"/>
        <v/>
      </c>
      <c r="C119" s="157">
        <f>IF(D93="","-",+C118+1)</f>
        <v>2030</v>
      </c>
      <c r="D119" s="158">
        <f>IF(F118+SUM(E$101:E118)=D$92,F118,D$92-SUM(E$101:E118))</f>
        <v>13889.5</v>
      </c>
      <c r="E119" s="165">
        <f t="shared" ref="E119:E154" si="33">IF(+J$96&lt;F118,J$96,D119)</f>
        <v>480</v>
      </c>
      <c r="F119" s="163">
        <f t="shared" si="26"/>
        <v>13409.5</v>
      </c>
      <c r="G119" s="163">
        <f t="shared" si="27"/>
        <v>13649.5</v>
      </c>
      <c r="H119" s="167">
        <f t="shared" si="28"/>
        <v>2211.4734922264774</v>
      </c>
      <c r="I119" s="317">
        <f t="shared" si="29"/>
        <v>2211.4734922264774</v>
      </c>
      <c r="J119" s="162">
        <f t="shared" si="25"/>
        <v>0</v>
      </c>
      <c r="K119" s="162"/>
      <c r="L119" s="335"/>
      <c r="M119" s="162">
        <f t="shared" si="30"/>
        <v>0</v>
      </c>
      <c r="N119" s="335"/>
      <c r="O119" s="162">
        <f t="shared" si="31"/>
        <v>0</v>
      </c>
      <c r="P119" s="162">
        <f t="shared" si="32"/>
        <v>0</v>
      </c>
    </row>
    <row r="120" spans="2:16">
      <c r="B120" s="9" t="str">
        <f t="shared" si="24"/>
        <v/>
      </c>
      <c r="C120" s="157">
        <f>IF(D93="","-",+C119+1)</f>
        <v>2031</v>
      </c>
      <c r="D120" s="158">
        <f>IF(F119+SUM(E$101:E119)=D$92,F119,D$92-SUM(E$101:E119))</f>
        <v>13409.5</v>
      </c>
      <c r="E120" s="165">
        <f t="shared" si="33"/>
        <v>480</v>
      </c>
      <c r="F120" s="163">
        <f t="shared" si="26"/>
        <v>12929.5</v>
      </c>
      <c r="G120" s="163">
        <f t="shared" si="27"/>
        <v>13169.5</v>
      </c>
      <c r="H120" s="167">
        <f t="shared" si="28"/>
        <v>2150.5842819060472</v>
      </c>
      <c r="I120" s="317">
        <f t="shared" si="29"/>
        <v>2150.5842819060472</v>
      </c>
      <c r="J120" s="162">
        <f t="shared" si="25"/>
        <v>0</v>
      </c>
      <c r="K120" s="162"/>
      <c r="L120" s="335"/>
      <c r="M120" s="162">
        <f t="shared" si="30"/>
        <v>0</v>
      </c>
      <c r="N120" s="335"/>
      <c r="O120" s="162">
        <f t="shared" si="31"/>
        <v>0</v>
      </c>
      <c r="P120" s="162">
        <f t="shared" si="32"/>
        <v>0</v>
      </c>
    </row>
    <row r="121" spans="2:16">
      <c r="B121" s="9" t="str">
        <f t="shared" si="24"/>
        <v/>
      </c>
      <c r="C121" s="157">
        <f>IF(D93="","-",+C120+1)</f>
        <v>2032</v>
      </c>
      <c r="D121" s="158">
        <f>IF(F120+SUM(E$101:E120)=D$92,F120,D$92-SUM(E$101:E120))</f>
        <v>12929.5</v>
      </c>
      <c r="E121" s="165">
        <f t="shared" si="33"/>
        <v>480</v>
      </c>
      <c r="F121" s="163">
        <f t="shared" si="26"/>
        <v>12449.5</v>
      </c>
      <c r="G121" s="163">
        <f t="shared" si="27"/>
        <v>12689.5</v>
      </c>
      <c r="H121" s="167">
        <f t="shared" si="28"/>
        <v>2089.6950715856174</v>
      </c>
      <c r="I121" s="317">
        <f t="shared" si="29"/>
        <v>2089.6950715856174</v>
      </c>
      <c r="J121" s="162">
        <f t="shared" si="25"/>
        <v>0</v>
      </c>
      <c r="K121" s="162"/>
      <c r="L121" s="335"/>
      <c r="M121" s="162">
        <f t="shared" si="30"/>
        <v>0</v>
      </c>
      <c r="N121" s="335"/>
      <c r="O121" s="162">
        <f t="shared" si="31"/>
        <v>0</v>
      </c>
      <c r="P121" s="162">
        <f t="shared" si="32"/>
        <v>0</v>
      </c>
    </row>
    <row r="122" spans="2:16">
      <c r="B122" s="9" t="str">
        <f t="shared" si="24"/>
        <v/>
      </c>
      <c r="C122" s="157">
        <f>IF(D93="","-",+C121+1)</f>
        <v>2033</v>
      </c>
      <c r="D122" s="158">
        <f>IF(F121+SUM(E$101:E121)=D$92,F121,D$92-SUM(E$101:E121))</f>
        <v>12449.5</v>
      </c>
      <c r="E122" s="165">
        <f t="shared" si="33"/>
        <v>480</v>
      </c>
      <c r="F122" s="163">
        <f t="shared" si="26"/>
        <v>11969.5</v>
      </c>
      <c r="G122" s="163">
        <f t="shared" si="27"/>
        <v>12209.5</v>
      </c>
      <c r="H122" s="167">
        <f t="shared" si="28"/>
        <v>2028.8058612651876</v>
      </c>
      <c r="I122" s="317">
        <f t="shared" si="29"/>
        <v>2028.8058612651876</v>
      </c>
      <c r="J122" s="162">
        <f t="shared" si="25"/>
        <v>0</v>
      </c>
      <c r="K122" s="162"/>
      <c r="L122" s="335"/>
      <c r="M122" s="162">
        <f t="shared" si="30"/>
        <v>0</v>
      </c>
      <c r="N122" s="335"/>
      <c r="O122" s="162">
        <f t="shared" si="31"/>
        <v>0</v>
      </c>
      <c r="P122" s="162">
        <f t="shared" si="32"/>
        <v>0</v>
      </c>
    </row>
    <row r="123" spans="2:16">
      <c r="B123" s="9" t="str">
        <f t="shared" si="24"/>
        <v/>
      </c>
      <c r="C123" s="157">
        <f>IF(D93="","-",+C122+1)</f>
        <v>2034</v>
      </c>
      <c r="D123" s="158">
        <f>IF(F122+SUM(E$101:E122)=D$92,F122,D$92-SUM(E$101:E122))</f>
        <v>11969.5</v>
      </c>
      <c r="E123" s="165">
        <f t="shared" si="33"/>
        <v>480</v>
      </c>
      <c r="F123" s="163">
        <f t="shared" si="26"/>
        <v>11489.5</v>
      </c>
      <c r="G123" s="163">
        <f t="shared" si="27"/>
        <v>11729.5</v>
      </c>
      <c r="H123" s="167">
        <f t="shared" si="28"/>
        <v>1967.9166509447575</v>
      </c>
      <c r="I123" s="317">
        <f t="shared" si="29"/>
        <v>1967.9166509447575</v>
      </c>
      <c r="J123" s="162">
        <f t="shared" si="25"/>
        <v>0</v>
      </c>
      <c r="K123" s="162"/>
      <c r="L123" s="335"/>
      <c r="M123" s="162">
        <f t="shared" si="30"/>
        <v>0</v>
      </c>
      <c r="N123" s="335"/>
      <c r="O123" s="162">
        <f t="shared" si="31"/>
        <v>0</v>
      </c>
      <c r="P123" s="162">
        <f t="shared" si="32"/>
        <v>0</v>
      </c>
    </row>
    <row r="124" spans="2:16">
      <c r="B124" s="9" t="str">
        <f t="shared" si="24"/>
        <v/>
      </c>
      <c r="C124" s="157">
        <f>IF(D93="","-",+C123+1)</f>
        <v>2035</v>
      </c>
      <c r="D124" s="158">
        <f>IF(F123+SUM(E$101:E123)=D$92,F123,D$92-SUM(E$101:E123))</f>
        <v>11489.5</v>
      </c>
      <c r="E124" s="165">
        <f t="shared" si="33"/>
        <v>480</v>
      </c>
      <c r="F124" s="163">
        <f t="shared" si="26"/>
        <v>11009.5</v>
      </c>
      <c r="G124" s="163">
        <f t="shared" si="27"/>
        <v>11249.5</v>
      </c>
      <c r="H124" s="167">
        <f t="shared" si="28"/>
        <v>1907.0274406243275</v>
      </c>
      <c r="I124" s="317">
        <f t="shared" si="29"/>
        <v>1907.0274406243275</v>
      </c>
      <c r="J124" s="162">
        <f t="shared" si="25"/>
        <v>0</v>
      </c>
      <c r="K124" s="162"/>
      <c r="L124" s="335"/>
      <c r="M124" s="162">
        <f t="shared" si="30"/>
        <v>0</v>
      </c>
      <c r="N124" s="335"/>
      <c r="O124" s="162">
        <f t="shared" si="31"/>
        <v>0</v>
      </c>
      <c r="P124" s="162">
        <f t="shared" si="32"/>
        <v>0</v>
      </c>
    </row>
    <row r="125" spans="2:16">
      <c r="B125" s="9" t="str">
        <f t="shared" si="24"/>
        <v/>
      </c>
      <c r="C125" s="157">
        <f>IF(D93="","-",+C124+1)</f>
        <v>2036</v>
      </c>
      <c r="D125" s="158">
        <f>IF(F124+SUM(E$101:E124)=D$92,F124,D$92-SUM(E$101:E124))</f>
        <v>11009.5</v>
      </c>
      <c r="E125" s="165">
        <f t="shared" si="33"/>
        <v>480</v>
      </c>
      <c r="F125" s="163">
        <f t="shared" si="26"/>
        <v>10529.5</v>
      </c>
      <c r="G125" s="163">
        <f t="shared" si="27"/>
        <v>10769.5</v>
      </c>
      <c r="H125" s="167">
        <f t="shared" si="28"/>
        <v>1846.1382303038974</v>
      </c>
      <c r="I125" s="317">
        <f t="shared" si="29"/>
        <v>1846.1382303038974</v>
      </c>
      <c r="J125" s="162">
        <f t="shared" si="25"/>
        <v>0</v>
      </c>
      <c r="K125" s="162"/>
      <c r="L125" s="335"/>
      <c r="M125" s="162">
        <f t="shared" si="30"/>
        <v>0</v>
      </c>
      <c r="N125" s="335"/>
      <c r="O125" s="162">
        <f t="shared" si="31"/>
        <v>0</v>
      </c>
      <c r="P125" s="162">
        <f t="shared" si="32"/>
        <v>0</v>
      </c>
    </row>
    <row r="126" spans="2:16">
      <c r="B126" s="9" t="str">
        <f t="shared" si="24"/>
        <v/>
      </c>
      <c r="C126" s="157">
        <f>IF(D93="","-",+C125+1)</f>
        <v>2037</v>
      </c>
      <c r="D126" s="158">
        <f>IF(F125+SUM(E$101:E125)=D$92,F125,D$92-SUM(E$101:E125))</f>
        <v>10529.5</v>
      </c>
      <c r="E126" s="165">
        <f t="shared" si="33"/>
        <v>480</v>
      </c>
      <c r="F126" s="163">
        <f t="shared" si="26"/>
        <v>10049.5</v>
      </c>
      <c r="G126" s="163">
        <f t="shared" si="27"/>
        <v>10289.5</v>
      </c>
      <c r="H126" s="167">
        <f t="shared" si="28"/>
        <v>1785.2490199834676</v>
      </c>
      <c r="I126" s="317">
        <f t="shared" si="29"/>
        <v>1785.2490199834676</v>
      </c>
      <c r="J126" s="162">
        <f t="shared" si="25"/>
        <v>0</v>
      </c>
      <c r="K126" s="162"/>
      <c r="L126" s="335"/>
      <c r="M126" s="162">
        <f t="shared" si="30"/>
        <v>0</v>
      </c>
      <c r="N126" s="335"/>
      <c r="O126" s="162">
        <f t="shared" si="31"/>
        <v>0</v>
      </c>
      <c r="P126" s="162">
        <f t="shared" si="32"/>
        <v>0</v>
      </c>
    </row>
    <row r="127" spans="2:16">
      <c r="B127" s="9" t="str">
        <f t="shared" si="24"/>
        <v/>
      </c>
      <c r="C127" s="157">
        <f>IF(D93="","-",+C126+1)</f>
        <v>2038</v>
      </c>
      <c r="D127" s="158">
        <f>IF(F126+SUM(E$101:E126)=D$92,F126,D$92-SUM(E$101:E126))</f>
        <v>10049.5</v>
      </c>
      <c r="E127" s="165">
        <f t="shared" si="33"/>
        <v>480</v>
      </c>
      <c r="F127" s="163">
        <f t="shared" si="26"/>
        <v>9569.5</v>
      </c>
      <c r="G127" s="163">
        <f t="shared" si="27"/>
        <v>9809.5</v>
      </c>
      <c r="H127" s="167">
        <f t="shared" si="28"/>
        <v>1724.3598096630376</v>
      </c>
      <c r="I127" s="317">
        <f t="shared" si="29"/>
        <v>1724.3598096630376</v>
      </c>
      <c r="J127" s="162">
        <f t="shared" si="25"/>
        <v>0</v>
      </c>
      <c r="K127" s="162"/>
      <c r="L127" s="335"/>
      <c r="M127" s="162">
        <f t="shared" si="30"/>
        <v>0</v>
      </c>
      <c r="N127" s="335"/>
      <c r="O127" s="162">
        <f t="shared" si="31"/>
        <v>0</v>
      </c>
      <c r="P127" s="162">
        <f t="shared" si="32"/>
        <v>0</v>
      </c>
    </row>
    <row r="128" spans="2:16">
      <c r="B128" s="9" t="str">
        <f t="shared" si="24"/>
        <v/>
      </c>
      <c r="C128" s="157">
        <f>IF(D93="","-",+C127+1)</f>
        <v>2039</v>
      </c>
      <c r="D128" s="158">
        <f>IF(F127+SUM(E$101:E127)=D$92,F127,D$92-SUM(E$101:E127))</f>
        <v>9569.5</v>
      </c>
      <c r="E128" s="165">
        <f t="shared" si="33"/>
        <v>480</v>
      </c>
      <c r="F128" s="163">
        <f t="shared" si="26"/>
        <v>9089.5</v>
      </c>
      <c r="G128" s="163">
        <f t="shared" si="27"/>
        <v>9329.5</v>
      </c>
      <c r="H128" s="167">
        <f t="shared" si="28"/>
        <v>1663.4705993426076</v>
      </c>
      <c r="I128" s="317">
        <f t="shared" si="29"/>
        <v>1663.4705993426076</v>
      </c>
      <c r="J128" s="162">
        <f t="shared" si="25"/>
        <v>0</v>
      </c>
      <c r="K128" s="162"/>
      <c r="L128" s="335"/>
      <c r="M128" s="162">
        <f t="shared" si="30"/>
        <v>0</v>
      </c>
      <c r="N128" s="335"/>
      <c r="O128" s="162">
        <f t="shared" si="31"/>
        <v>0</v>
      </c>
      <c r="P128" s="162">
        <f t="shared" si="32"/>
        <v>0</v>
      </c>
    </row>
    <row r="129" spans="2:16">
      <c r="B129" s="9" t="str">
        <f t="shared" si="24"/>
        <v/>
      </c>
      <c r="C129" s="157">
        <f>IF(D93="","-",+C128+1)</f>
        <v>2040</v>
      </c>
      <c r="D129" s="158">
        <f>IF(F128+SUM(E$101:E128)=D$92,F128,D$92-SUM(E$101:E128))</f>
        <v>9089.5</v>
      </c>
      <c r="E129" s="165">
        <f t="shared" si="33"/>
        <v>480</v>
      </c>
      <c r="F129" s="163">
        <f t="shared" si="26"/>
        <v>8609.5</v>
      </c>
      <c r="G129" s="163">
        <f t="shared" si="27"/>
        <v>8849.5</v>
      </c>
      <c r="H129" s="167">
        <f t="shared" si="28"/>
        <v>1602.5813890221775</v>
      </c>
      <c r="I129" s="317">
        <f t="shared" si="29"/>
        <v>1602.5813890221775</v>
      </c>
      <c r="J129" s="162">
        <f t="shared" si="25"/>
        <v>0</v>
      </c>
      <c r="K129" s="162"/>
      <c r="L129" s="335"/>
      <c r="M129" s="162">
        <f t="shared" si="30"/>
        <v>0</v>
      </c>
      <c r="N129" s="335"/>
      <c r="O129" s="162">
        <f t="shared" si="31"/>
        <v>0</v>
      </c>
      <c r="P129" s="162">
        <f t="shared" si="32"/>
        <v>0</v>
      </c>
    </row>
    <row r="130" spans="2:16">
      <c r="B130" s="9" t="str">
        <f t="shared" si="24"/>
        <v/>
      </c>
      <c r="C130" s="157">
        <f>IF(D93="","-",+C129+1)</f>
        <v>2041</v>
      </c>
      <c r="D130" s="158">
        <f>IF(F129+SUM(E$101:E129)=D$92,F129,D$92-SUM(E$101:E129))</f>
        <v>8609.5</v>
      </c>
      <c r="E130" s="165">
        <f t="shared" si="33"/>
        <v>480</v>
      </c>
      <c r="F130" s="163">
        <f t="shared" si="26"/>
        <v>8129.5</v>
      </c>
      <c r="G130" s="163">
        <f t="shared" si="27"/>
        <v>8369.5</v>
      </c>
      <c r="H130" s="167">
        <f t="shared" si="28"/>
        <v>1541.6921787017475</v>
      </c>
      <c r="I130" s="317">
        <f t="shared" si="29"/>
        <v>1541.6921787017475</v>
      </c>
      <c r="J130" s="162">
        <f t="shared" si="25"/>
        <v>0</v>
      </c>
      <c r="K130" s="162"/>
      <c r="L130" s="335"/>
      <c r="M130" s="162">
        <f t="shared" si="30"/>
        <v>0</v>
      </c>
      <c r="N130" s="335"/>
      <c r="O130" s="162">
        <f t="shared" si="31"/>
        <v>0</v>
      </c>
      <c r="P130" s="162">
        <f t="shared" si="32"/>
        <v>0</v>
      </c>
    </row>
    <row r="131" spans="2:16">
      <c r="B131" s="9" t="str">
        <f t="shared" si="24"/>
        <v/>
      </c>
      <c r="C131" s="157">
        <f>IF(D93="","-",+C130+1)</f>
        <v>2042</v>
      </c>
      <c r="D131" s="158">
        <f>IF(F130+SUM(E$101:E130)=D$92,F130,D$92-SUM(E$101:E130))</f>
        <v>8129.5</v>
      </c>
      <c r="E131" s="165">
        <f t="shared" si="33"/>
        <v>480</v>
      </c>
      <c r="F131" s="163">
        <f t="shared" si="26"/>
        <v>7649.5</v>
      </c>
      <c r="G131" s="163">
        <f t="shared" si="27"/>
        <v>7889.5</v>
      </c>
      <c r="H131" s="167">
        <f t="shared" si="28"/>
        <v>1480.8029683813174</v>
      </c>
      <c r="I131" s="317">
        <f t="shared" si="29"/>
        <v>1480.8029683813174</v>
      </c>
      <c r="J131" s="162">
        <f t="shared" si="25"/>
        <v>0</v>
      </c>
      <c r="K131" s="162"/>
      <c r="L131" s="335"/>
      <c r="M131" s="162">
        <f t="shared" ref="M131:M154" si="34">IF(L541&lt;&gt;0,+H541-L541,0)</f>
        <v>0</v>
      </c>
      <c r="N131" s="335"/>
      <c r="O131" s="162">
        <f t="shared" ref="O131:O154" si="35">IF(N541&lt;&gt;0,+I541-N541,0)</f>
        <v>0</v>
      </c>
      <c r="P131" s="162">
        <f t="shared" ref="P131:P154" si="36">+O541-M541</f>
        <v>0</v>
      </c>
    </row>
    <row r="132" spans="2:16">
      <c r="B132" s="9" t="str">
        <f t="shared" si="24"/>
        <v/>
      </c>
      <c r="C132" s="157">
        <f>IF(D93="","-",+C131+1)</f>
        <v>2043</v>
      </c>
      <c r="D132" s="158">
        <f>IF(F131+SUM(E$101:E131)=D$92,F131,D$92-SUM(E$101:E131))</f>
        <v>7649.5</v>
      </c>
      <c r="E132" s="165">
        <f t="shared" si="33"/>
        <v>480</v>
      </c>
      <c r="F132" s="163">
        <f t="shared" si="26"/>
        <v>7169.5</v>
      </c>
      <c r="G132" s="163">
        <f t="shared" si="27"/>
        <v>7409.5</v>
      </c>
      <c r="H132" s="167">
        <f t="shared" si="28"/>
        <v>1419.9137580608876</v>
      </c>
      <c r="I132" s="317">
        <f t="shared" si="29"/>
        <v>1419.9137580608876</v>
      </c>
      <c r="J132" s="162">
        <f t="shared" si="25"/>
        <v>0</v>
      </c>
      <c r="K132" s="162"/>
      <c r="L132" s="335"/>
      <c r="M132" s="162">
        <f t="shared" si="34"/>
        <v>0</v>
      </c>
      <c r="N132" s="335"/>
      <c r="O132" s="162">
        <f t="shared" si="35"/>
        <v>0</v>
      </c>
      <c r="P132" s="162">
        <f t="shared" si="36"/>
        <v>0</v>
      </c>
    </row>
    <row r="133" spans="2:16">
      <c r="B133" s="9" t="str">
        <f t="shared" si="24"/>
        <v/>
      </c>
      <c r="C133" s="157">
        <f>IF(D93="","-",+C132+1)</f>
        <v>2044</v>
      </c>
      <c r="D133" s="158">
        <f>IF(F132+SUM(E$101:E132)=D$92,F132,D$92-SUM(E$101:E132))</f>
        <v>7169.5</v>
      </c>
      <c r="E133" s="165">
        <f t="shared" si="33"/>
        <v>480</v>
      </c>
      <c r="F133" s="163">
        <f t="shared" si="26"/>
        <v>6689.5</v>
      </c>
      <c r="G133" s="163">
        <f t="shared" ref="G133:G154" si="37">+(F133+D133)/2</f>
        <v>6929.5</v>
      </c>
      <c r="H133" s="167">
        <f t="shared" ref="H133:H154" si="38">+J$94*G133+E133</f>
        <v>1359.0245477404576</v>
      </c>
      <c r="I133" s="317">
        <f t="shared" ref="I133:I154" si="39">+J$95*G133+E133</f>
        <v>1359.0245477404576</v>
      </c>
      <c r="J133" s="162">
        <f t="shared" ref="J133:J154" si="40">+I541-H541</f>
        <v>0</v>
      </c>
      <c r="K133" s="162"/>
      <c r="L133" s="335"/>
      <c r="M133" s="162">
        <f t="shared" si="34"/>
        <v>0</v>
      </c>
      <c r="N133" s="335"/>
      <c r="O133" s="162">
        <f t="shared" si="35"/>
        <v>0</v>
      </c>
      <c r="P133" s="162">
        <f t="shared" si="36"/>
        <v>0</v>
      </c>
    </row>
    <row r="134" spans="2:16">
      <c r="B134" s="9" t="str">
        <f t="shared" ref="B134:B154" si="41">IF(D134=F133,"","IU")</f>
        <v/>
      </c>
      <c r="C134" s="157">
        <f>IF(D93="","-",+C133+1)</f>
        <v>2045</v>
      </c>
      <c r="D134" s="158">
        <f>IF(F133+SUM(E$101:E133)=D$92,F133,D$92-SUM(E$101:E133))</f>
        <v>6689.5</v>
      </c>
      <c r="E134" s="165">
        <f t="shared" si="33"/>
        <v>480</v>
      </c>
      <c r="F134" s="163">
        <f t="shared" ref="F134:F154" si="42">+D134-E134</f>
        <v>6209.5</v>
      </c>
      <c r="G134" s="163">
        <f t="shared" si="37"/>
        <v>6449.5</v>
      </c>
      <c r="H134" s="167">
        <f t="shared" si="38"/>
        <v>1298.1353374200276</v>
      </c>
      <c r="I134" s="317">
        <f t="shared" si="39"/>
        <v>1298.1353374200276</v>
      </c>
      <c r="J134" s="162">
        <f t="shared" si="40"/>
        <v>0</v>
      </c>
      <c r="K134" s="162"/>
      <c r="L134" s="335"/>
      <c r="M134" s="162">
        <f t="shared" si="34"/>
        <v>0</v>
      </c>
      <c r="N134" s="335"/>
      <c r="O134" s="162">
        <f t="shared" si="35"/>
        <v>0</v>
      </c>
      <c r="P134" s="162">
        <f t="shared" si="36"/>
        <v>0</v>
      </c>
    </row>
    <row r="135" spans="2:16">
      <c r="B135" s="9" t="str">
        <f t="shared" si="41"/>
        <v/>
      </c>
      <c r="C135" s="157">
        <f>IF(D93="","-",+C134+1)</f>
        <v>2046</v>
      </c>
      <c r="D135" s="158">
        <f>IF(F134+SUM(E$101:E134)=D$92,F134,D$92-SUM(E$101:E134))</f>
        <v>6209.5</v>
      </c>
      <c r="E135" s="165">
        <f t="shared" si="33"/>
        <v>480</v>
      </c>
      <c r="F135" s="163">
        <f t="shared" si="42"/>
        <v>5729.5</v>
      </c>
      <c r="G135" s="163">
        <f t="shared" si="37"/>
        <v>5969.5</v>
      </c>
      <c r="H135" s="167">
        <f t="shared" si="38"/>
        <v>1237.2461270995977</v>
      </c>
      <c r="I135" s="317">
        <f t="shared" si="39"/>
        <v>1237.2461270995977</v>
      </c>
      <c r="J135" s="162">
        <f t="shared" si="40"/>
        <v>0</v>
      </c>
      <c r="K135" s="162"/>
      <c r="L135" s="335"/>
      <c r="M135" s="162">
        <f t="shared" si="34"/>
        <v>0</v>
      </c>
      <c r="N135" s="335"/>
      <c r="O135" s="162">
        <f t="shared" si="35"/>
        <v>0</v>
      </c>
      <c r="P135" s="162">
        <f t="shared" si="36"/>
        <v>0</v>
      </c>
    </row>
    <row r="136" spans="2:16">
      <c r="B136" s="9" t="str">
        <f t="shared" si="41"/>
        <v/>
      </c>
      <c r="C136" s="157">
        <f>IF(D93="","-",+C135+1)</f>
        <v>2047</v>
      </c>
      <c r="D136" s="158">
        <f>IF(F135+SUM(E$101:E135)=D$92,F135,D$92-SUM(E$101:E135))</f>
        <v>5729.5</v>
      </c>
      <c r="E136" s="165">
        <f t="shared" si="33"/>
        <v>480</v>
      </c>
      <c r="F136" s="163">
        <f t="shared" si="42"/>
        <v>5249.5</v>
      </c>
      <c r="G136" s="163">
        <f t="shared" si="37"/>
        <v>5489.5</v>
      </c>
      <c r="H136" s="167">
        <f t="shared" si="38"/>
        <v>1176.3569167791675</v>
      </c>
      <c r="I136" s="317">
        <f t="shared" si="39"/>
        <v>1176.3569167791675</v>
      </c>
      <c r="J136" s="162">
        <f t="shared" si="40"/>
        <v>0</v>
      </c>
      <c r="K136" s="162"/>
      <c r="L136" s="335"/>
      <c r="M136" s="162">
        <f t="shared" si="34"/>
        <v>0</v>
      </c>
      <c r="N136" s="335"/>
      <c r="O136" s="162">
        <f t="shared" si="35"/>
        <v>0</v>
      </c>
      <c r="P136" s="162">
        <f t="shared" si="36"/>
        <v>0</v>
      </c>
    </row>
    <row r="137" spans="2:16">
      <c r="B137" s="9" t="str">
        <f t="shared" si="41"/>
        <v/>
      </c>
      <c r="C137" s="157">
        <f>IF(D93="","-",+C136+1)</f>
        <v>2048</v>
      </c>
      <c r="D137" s="158">
        <f>IF(F136+SUM(E$101:E136)=D$92,F136,D$92-SUM(E$101:E136))</f>
        <v>5249.5</v>
      </c>
      <c r="E137" s="165">
        <f t="shared" si="33"/>
        <v>480</v>
      </c>
      <c r="F137" s="163">
        <f t="shared" si="42"/>
        <v>4769.5</v>
      </c>
      <c r="G137" s="163">
        <f t="shared" si="37"/>
        <v>5009.5</v>
      </c>
      <c r="H137" s="167">
        <f t="shared" si="38"/>
        <v>1115.4677064587377</v>
      </c>
      <c r="I137" s="317">
        <f t="shared" si="39"/>
        <v>1115.4677064587377</v>
      </c>
      <c r="J137" s="162">
        <f t="shared" si="40"/>
        <v>0</v>
      </c>
      <c r="K137" s="162"/>
      <c r="L137" s="335"/>
      <c r="M137" s="162">
        <f t="shared" si="34"/>
        <v>0</v>
      </c>
      <c r="N137" s="335"/>
      <c r="O137" s="162">
        <f t="shared" si="35"/>
        <v>0</v>
      </c>
      <c r="P137" s="162">
        <f t="shared" si="36"/>
        <v>0</v>
      </c>
    </row>
    <row r="138" spans="2:16">
      <c r="B138" s="9" t="str">
        <f t="shared" si="41"/>
        <v/>
      </c>
      <c r="C138" s="157">
        <f>IF(D93="","-",+C137+1)</f>
        <v>2049</v>
      </c>
      <c r="D138" s="158">
        <f>IF(F137+SUM(E$101:E137)=D$92,F137,D$92-SUM(E$101:E137))</f>
        <v>4769.5</v>
      </c>
      <c r="E138" s="165">
        <f t="shared" si="33"/>
        <v>480</v>
      </c>
      <c r="F138" s="163">
        <f t="shared" si="42"/>
        <v>4289.5</v>
      </c>
      <c r="G138" s="163">
        <f t="shared" si="37"/>
        <v>4529.5</v>
      </c>
      <c r="H138" s="167">
        <f t="shared" si="38"/>
        <v>1054.5784961383076</v>
      </c>
      <c r="I138" s="317">
        <f t="shared" si="39"/>
        <v>1054.5784961383076</v>
      </c>
      <c r="J138" s="162">
        <f t="shared" si="40"/>
        <v>0</v>
      </c>
      <c r="K138" s="162"/>
      <c r="L138" s="335"/>
      <c r="M138" s="162">
        <f t="shared" si="34"/>
        <v>0</v>
      </c>
      <c r="N138" s="335"/>
      <c r="O138" s="162">
        <f t="shared" si="35"/>
        <v>0</v>
      </c>
      <c r="P138" s="162">
        <f t="shared" si="36"/>
        <v>0</v>
      </c>
    </row>
    <row r="139" spans="2:16">
      <c r="B139" s="9" t="str">
        <f t="shared" si="41"/>
        <v/>
      </c>
      <c r="C139" s="157">
        <f>IF(D93="","-",+C138+1)</f>
        <v>2050</v>
      </c>
      <c r="D139" s="158">
        <f>IF(F138+SUM(E$101:E138)=D$92,F138,D$92-SUM(E$101:E138))</f>
        <v>4289.5</v>
      </c>
      <c r="E139" s="165">
        <f t="shared" si="33"/>
        <v>480</v>
      </c>
      <c r="F139" s="163">
        <f t="shared" si="42"/>
        <v>3809.5</v>
      </c>
      <c r="G139" s="163">
        <f t="shared" si="37"/>
        <v>4049.5</v>
      </c>
      <c r="H139" s="167">
        <f t="shared" si="38"/>
        <v>993.68928581787759</v>
      </c>
      <c r="I139" s="317">
        <f t="shared" si="39"/>
        <v>993.68928581787759</v>
      </c>
      <c r="J139" s="162">
        <f t="shared" si="40"/>
        <v>0</v>
      </c>
      <c r="K139" s="162"/>
      <c r="L139" s="335"/>
      <c r="M139" s="162">
        <f t="shared" si="34"/>
        <v>0</v>
      </c>
      <c r="N139" s="335"/>
      <c r="O139" s="162">
        <f t="shared" si="35"/>
        <v>0</v>
      </c>
      <c r="P139" s="162">
        <f t="shared" si="36"/>
        <v>0</v>
      </c>
    </row>
    <row r="140" spans="2:16">
      <c r="B140" s="9" t="str">
        <f t="shared" si="41"/>
        <v/>
      </c>
      <c r="C140" s="157">
        <f>IF(D93="","-",+C139+1)</f>
        <v>2051</v>
      </c>
      <c r="D140" s="158">
        <f>IF(F139+SUM(E$101:E139)=D$92,F139,D$92-SUM(E$101:E139))</f>
        <v>3809.5</v>
      </c>
      <c r="E140" s="165">
        <f t="shared" si="33"/>
        <v>480</v>
      </c>
      <c r="F140" s="163">
        <f t="shared" si="42"/>
        <v>3329.5</v>
      </c>
      <c r="G140" s="163">
        <f t="shared" si="37"/>
        <v>3569.5</v>
      </c>
      <c r="H140" s="167">
        <f t="shared" si="38"/>
        <v>932.80007549744755</v>
      </c>
      <c r="I140" s="317">
        <f t="shared" si="39"/>
        <v>932.80007549744755</v>
      </c>
      <c r="J140" s="162">
        <f t="shared" si="40"/>
        <v>0</v>
      </c>
      <c r="K140" s="162"/>
      <c r="L140" s="335"/>
      <c r="M140" s="162">
        <f t="shared" si="34"/>
        <v>0</v>
      </c>
      <c r="N140" s="335"/>
      <c r="O140" s="162">
        <f t="shared" si="35"/>
        <v>0</v>
      </c>
      <c r="P140" s="162">
        <f t="shared" si="36"/>
        <v>0</v>
      </c>
    </row>
    <row r="141" spans="2:16">
      <c r="B141" s="9" t="str">
        <f t="shared" si="41"/>
        <v/>
      </c>
      <c r="C141" s="157">
        <f>IF(D93="","-",+C140+1)</f>
        <v>2052</v>
      </c>
      <c r="D141" s="158">
        <f>IF(F140+SUM(E$101:E140)=D$92,F140,D$92-SUM(E$101:E140))</f>
        <v>3329.5</v>
      </c>
      <c r="E141" s="165">
        <f t="shared" si="33"/>
        <v>480</v>
      </c>
      <c r="F141" s="163">
        <f t="shared" si="42"/>
        <v>2849.5</v>
      </c>
      <c r="G141" s="163">
        <f t="shared" si="37"/>
        <v>3089.5</v>
      </c>
      <c r="H141" s="167">
        <f t="shared" si="38"/>
        <v>871.91086517701763</v>
      </c>
      <c r="I141" s="317">
        <f t="shared" si="39"/>
        <v>871.91086517701763</v>
      </c>
      <c r="J141" s="162">
        <f t="shared" si="40"/>
        <v>0</v>
      </c>
      <c r="K141" s="162"/>
      <c r="L141" s="335"/>
      <c r="M141" s="162">
        <f t="shared" si="34"/>
        <v>0</v>
      </c>
      <c r="N141" s="335"/>
      <c r="O141" s="162">
        <f t="shared" si="35"/>
        <v>0</v>
      </c>
      <c r="P141" s="162">
        <f t="shared" si="36"/>
        <v>0</v>
      </c>
    </row>
    <row r="142" spans="2:16">
      <c r="B142" s="9" t="str">
        <f t="shared" si="41"/>
        <v/>
      </c>
      <c r="C142" s="157">
        <f>IF(D93="","-",+C141+1)</f>
        <v>2053</v>
      </c>
      <c r="D142" s="158">
        <f>IF(F141+SUM(E$101:E141)=D$92,F141,D$92-SUM(E$101:E141))</f>
        <v>2849.5</v>
      </c>
      <c r="E142" s="165">
        <f t="shared" si="33"/>
        <v>480</v>
      </c>
      <c r="F142" s="163">
        <f t="shared" si="42"/>
        <v>2369.5</v>
      </c>
      <c r="G142" s="163">
        <f t="shared" si="37"/>
        <v>2609.5</v>
      </c>
      <c r="H142" s="167">
        <f t="shared" si="38"/>
        <v>811.0216548565877</v>
      </c>
      <c r="I142" s="317">
        <f t="shared" si="39"/>
        <v>811.0216548565877</v>
      </c>
      <c r="J142" s="162">
        <f t="shared" si="40"/>
        <v>0</v>
      </c>
      <c r="K142" s="162"/>
      <c r="L142" s="335"/>
      <c r="M142" s="162">
        <f t="shared" si="34"/>
        <v>0</v>
      </c>
      <c r="N142" s="335"/>
      <c r="O142" s="162">
        <f t="shared" si="35"/>
        <v>0</v>
      </c>
      <c r="P142" s="162">
        <f t="shared" si="36"/>
        <v>0</v>
      </c>
    </row>
    <row r="143" spans="2:16">
      <c r="B143" s="9" t="str">
        <f t="shared" si="41"/>
        <v/>
      </c>
      <c r="C143" s="157">
        <f>IF(D93="","-",+C142+1)</f>
        <v>2054</v>
      </c>
      <c r="D143" s="158">
        <f>IF(F142+SUM(E$101:E142)=D$92,F142,D$92-SUM(E$101:E142))</f>
        <v>2369.5</v>
      </c>
      <c r="E143" s="165">
        <f t="shared" si="33"/>
        <v>480</v>
      </c>
      <c r="F143" s="163">
        <f t="shared" si="42"/>
        <v>1889.5</v>
      </c>
      <c r="G143" s="163">
        <f t="shared" si="37"/>
        <v>2129.5</v>
      </c>
      <c r="H143" s="167">
        <f t="shared" si="38"/>
        <v>750.13244453615766</v>
      </c>
      <c r="I143" s="317">
        <f t="shared" si="39"/>
        <v>750.13244453615766</v>
      </c>
      <c r="J143" s="162">
        <f t="shared" si="40"/>
        <v>0</v>
      </c>
      <c r="K143" s="162"/>
      <c r="L143" s="335"/>
      <c r="M143" s="162">
        <f t="shared" si="34"/>
        <v>0</v>
      </c>
      <c r="N143" s="335"/>
      <c r="O143" s="162">
        <f t="shared" si="35"/>
        <v>0</v>
      </c>
      <c r="P143" s="162">
        <f t="shared" si="36"/>
        <v>0</v>
      </c>
    </row>
    <row r="144" spans="2:16">
      <c r="B144" s="9" t="str">
        <f t="shared" si="41"/>
        <v/>
      </c>
      <c r="C144" s="157">
        <f>IF(D93="","-",+C143+1)</f>
        <v>2055</v>
      </c>
      <c r="D144" s="158">
        <f>IF(F143+SUM(E$101:E143)=D$92,F143,D$92-SUM(E$101:E143))</f>
        <v>1889.5</v>
      </c>
      <c r="E144" s="165">
        <f t="shared" si="33"/>
        <v>480</v>
      </c>
      <c r="F144" s="163">
        <f t="shared" si="42"/>
        <v>1409.5</v>
      </c>
      <c r="G144" s="163">
        <f t="shared" si="37"/>
        <v>1649.5</v>
      </c>
      <c r="H144" s="167">
        <f t="shared" si="38"/>
        <v>689.24323421572763</v>
      </c>
      <c r="I144" s="317">
        <f t="shared" si="39"/>
        <v>689.24323421572763</v>
      </c>
      <c r="J144" s="162">
        <f t="shared" si="40"/>
        <v>0</v>
      </c>
      <c r="K144" s="162"/>
      <c r="L144" s="335"/>
      <c r="M144" s="162">
        <f t="shared" si="34"/>
        <v>0</v>
      </c>
      <c r="N144" s="335"/>
      <c r="O144" s="162">
        <f t="shared" si="35"/>
        <v>0</v>
      </c>
      <c r="P144" s="162">
        <f t="shared" si="36"/>
        <v>0</v>
      </c>
    </row>
    <row r="145" spans="2:16">
      <c r="B145" s="9" t="str">
        <f t="shared" si="41"/>
        <v/>
      </c>
      <c r="C145" s="157">
        <f>IF(D93="","-",+C144+1)</f>
        <v>2056</v>
      </c>
      <c r="D145" s="158">
        <f>IF(F144+SUM(E$101:E144)=D$92,F144,D$92-SUM(E$101:E144))</f>
        <v>1409.5</v>
      </c>
      <c r="E145" s="165">
        <f t="shared" si="33"/>
        <v>480</v>
      </c>
      <c r="F145" s="163">
        <f t="shared" si="42"/>
        <v>929.5</v>
      </c>
      <c r="G145" s="163">
        <f t="shared" si="37"/>
        <v>1169.5</v>
      </c>
      <c r="H145" s="167">
        <f t="shared" si="38"/>
        <v>628.3540238952977</v>
      </c>
      <c r="I145" s="317">
        <f t="shared" si="39"/>
        <v>628.3540238952977</v>
      </c>
      <c r="J145" s="162">
        <f t="shared" si="40"/>
        <v>0</v>
      </c>
      <c r="K145" s="162"/>
      <c r="L145" s="335"/>
      <c r="M145" s="162">
        <f t="shared" si="34"/>
        <v>0</v>
      </c>
      <c r="N145" s="335"/>
      <c r="O145" s="162">
        <f t="shared" si="35"/>
        <v>0</v>
      </c>
      <c r="P145" s="162">
        <f t="shared" si="36"/>
        <v>0</v>
      </c>
    </row>
    <row r="146" spans="2:16">
      <c r="B146" s="9" t="str">
        <f t="shared" si="41"/>
        <v/>
      </c>
      <c r="C146" s="157">
        <f>IF(D93="","-",+C145+1)</f>
        <v>2057</v>
      </c>
      <c r="D146" s="158">
        <f>IF(F145+SUM(E$101:E145)=D$92,F145,D$92-SUM(E$101:E145))</f>
        <v>929.5</v>
      </c>
      <c r="E146" s="165">
        <f t="shared" si="33"/>
        <v>480</v>
      </c>
      <c r="F146" s="163">
        <f t="shared" si="42"/>
        <v>449.5</v>
      </c>
      <c r="G146" s="163">
        <f t="shared" si="37"/>
        <v>689.5</v>
      </c>
      <c r="H146" s="167">
        <f t="shared" si="38"/>
        <v>567.46481357486766</v>
      </c>
      <c r="I146" s="317">
        <f t="shared" si="39"/>
        <v>567.46481357486766</v>
      </c>
      <c r="J146" s="162">
        <f t="shared" si="40"/>
        <v>0</v>
      </c>
      <c r="K146" s="162"/>
      <c r="L146" s="335"/>
      <c r="M146" s="162">
        <f t="shared" si="34"/>
        <v>0</v>
      </c>
      <c r="N146" s="335"/>
      <c r="O146" s="162">
        <f t="shared" si="35"/>
        <v>0</v>
      </c>
      <c r="P146" s="162">
        <f t="shared" si="36"/>
        <v>0</v>
      </c>
    </row>
    <row r="147" spans="2:16">
      <c r="B147" s="9" t="str">
        <f t="shared" si="41"/>
        <v/>
      </c>
      <c r="C147" s="157">
        <f>IF(D93="","-",+C146+1)</f>
        <v>2058</v>
      </c>
      <c r="D147" s="158">
        <f>IF(F146+SUM(E$101:E146)=D$92,F146,D$92-SUM(E$101:E146))</f>
        <v>449.5</v>
      </c>
      <c r="E147" s="165">
        <f t="shared" si="33"/>
        <v>449.5</v>
      </c>
      <c r="F147" s="163">
        <f t="shared" si="42"/>
        <v>0</v>
      </c>
      <c r="G147" s="163">
        <f t="shared" si="37"/>
        <v>224.75</v>
      </c>
      <c r="H147" s="167">
        <f t="shared" si="38"/>
        <v>478.01010420732632</v>
      </c>
      <c r="I147" s="317">
        <f t="shared" si="39"/>
        <v>478.01010420732632</v>
      </c>
      <c r="J147" s="162">
        <f t="shared" si="40"/>
        <v>0</v>
      </c>
      <c r="K147" s="162"/>
      <c r="L147" s="335"/>
      <c r="M147" s="162">
        <f t="shared" si="34"/>
        <v>0</v>
      </c>
      <c r="N147" s="335"/>
      <c r="O147" s="162">
        <f t="shared" si="35"/>
        <v>0</v>
      </c>
      <c r="P147" s="162">
        <f t="shared" si="36"/>
        <v>0</v>
      </c>
    </row>
    <row r="148" spans="2:16">
      <c r="B148" s="9" t="str">
        <f t="shared" si="41"/>
        <v/>
      </c>
      <c r="C148" s="157">
        <f>IF(D93="","-",+C147+1)</f>
        <v>2059</v>
      </c>
      <c r="D148" s="158">
        <f>IF(F147+SUM(E$101:E147)=D$92,F147,D$92-SUM(E$101:E147))</f>
        <v>0</v>
      </c>
      <c r="E148" s="165">
        <f t="shared" si="33"/>
        <v>0</v>
      </c>
      <c r="F148" s="163">
        <f t="shared" si="42"/>
        <v>0</v>
      </c>
      <c r="G148" s="163">
        <f t="shared" si="37"/>
        <v>0</v>
      </c>
      <c r="H148" s="167">
        <f t="shared" si="38"/>
        <v>0</v>
      </c>
      <c r="I148" s="317">
        <f t="shared" si="39"/>
        <v>0</v>
      </c>
      <c r="J148" s="162">
        <f t="shared" si="40"/>
        <v>0</v>
      </c>
      <c r="K148" s="162"/>
      <c r="L148" s="335"/>
      <c r="M148" s="162">
        <f t="shared" si="34"/>
        <v>0</v>
      </c>
      <c r="N148" s="335"/>
      <c r="O148" s="162">
        <f t="shared" si="35"/>
        <v>0</v>
      </c>
      <c r="P148" s="162">
        <f t="shared" si="36"/>
        <v>0</v>
      </c>
    </row>
    <row r="149" spans="2:16">
      <c r="B149" s="9" t="str">
        <f t="shared" si="41"/>
        <v/>
      </c>
      <c r="C149" s="157">
        <f>IF(D93="","-",+C148+1)</f>
        <v>2060</v>
      </c>
      <c r="D149" s="158">
        <f>IF(F148+SUM(E$101:E148)=D$92,F148,D$92-SUM(E$101:E148))</f>
        <v>0</v>
      </c>
      <c r="E149" s="165">
        <f t="shared" si="33"/>
        <v>0</v>
      </c>
      <c r="F149" s="163">
        <f t="shared" si="42"/>
        <v>0</v>
      </c>
      <c r="G149" s="163">
        <f t="shared" si="37"/>
        <v>0</v>
      </c>
      <c r="H149" s="167">
        <f t="shared" si="38"/>
        <v>0</v>
      </c>
      <c r="I149" s="317">
        <f t="shared" si="39"/>
        <v>0</v>
      </c>
      <c r="J149" s="162">
        <f t="shared" si="40"/>
        <v>0</v>
      </c>
      <c r="K149" s="162"/>
      <c r="L149" s="335"/>
      <c r="M149" s="162">
        <f t="shared" si="34"/>
        <v>0</v>
      </c>
      <c r="N149" s="335"/>
      <c r="O149" s="162">
        <f t="shared" si="35"/>
        <v>0</v>
      </c>
      <c r="P149" s="162">
        <f t="shared" si="36"/>
        <v>0</v>
      </c>
    </row>
    <row r="150" spans="2:16">
      <c r="B150" s="9" t="str">
        <f t="shared" si="41"/>
        <v/>
      </c>
      <c r="C150" s="157">
        <f>IF(D93="","-",+C149+1)</f>
        <v>2061</v>
      </c>
      <c r="D150" s="158">
        <f>IF(F149+SUM(E$101:E149)=D$92,F149,D$92-SUM(E$101:E149))</f>
        <v>0</v>
      </c>
      <c r="E150" s="165">
        <f t="shared" si="33"/>
        <v>0</v>
      </c>
      <c r="F150" s="163">
        <f t="shared" si="42"/>
        <v>0</v>
      </c>
      <c r="G150" s="163">
        <f t="shared" si="37"/>
        <v>0</v>
      </c>
      <c r="H150" s="167">
        <f t="shared" si="38"/>
        <v>0</v>
      </c>
      <c r="I150" s="317">
        <f t="shared" si="39"/>
        <v>0</v>
      </c>
      <c r="J150" s="162">
        <f t="shared" si="40"/>
        <v>0</v>
      </c>
      <c r="K150" s="162"/>
      <c r="L150" s="335"/>
      <c r="M150" s="162">
        <f t="shared" si="34"/>
        <v>0</v>
      </c>
      <c r="N150" s="335"/>
      <c r="O150" s="162">
        <f t="shared" si="35"/>
        <v>0</v>
      </c>
      <c r="P150" s="162">
        <f t="shared" si="36"/>
        <v>0</v>
      </c>
    </row>
    <row r="151" spans="2:16">
      <c r="B151" s="9" t="str">
        <f t="shared" si="41"/>
        <v/>
      </c>
      <c r="C151" s="157">
        <f>IF(D93="","-",+C150+1)</f>
        <v>2062</v>
      </c>
      <c r="D151" s="158">
        <f>IF(F150+SUM(E$101:E150)=D$92,F150,D$92-SUM(E$101:E150))</f>
        <v>0</v>
      </c>
      <c r="E151" s="165">
        <f t="shared" si="33"/>
        <v>0</v>
      </c>
      <c r="F151" s="163">
        <f t="shared" si="42"/>
        <v>0</v>
      </c>
      <c r="G151" s="163">
        <f t="shared" si="37"/>
        <v>0</v>
      </c>
      <c r="H151" s="167">
        <f t="shared" si="38"/>
        <v>0</v>
      </c>
      <c r="I151" s="317">
        <f t="shared" si="39"/>
        <v>0</v>
      </c>
      <c r="J151" s="162">
        <f t="shared" si="40"/>
        <v>0</v>
      </c>
      <c r="K151" s="162"/>
      <c r="L151" s="335"/>
      <c r="M151" s="162">
        <f t="shared" si="34"/>
        <v>0</v>
      </c>
      <c r="N151" s="335"/>
      <c r="O151" s="162">
        <f t="shared" si="35"/>
        <v>0</v>
      </c>
      <c r="P151" s="162">
        <f t="shared" si="36"/>
        <v>0</v>
      </c>
    </row>
    <row r="152" spans="2:16">
      <c r="B152" s="9" t="str">
        <f t="shared" si="41"/>
        <v/>
      </c>
      <c r="C152" s="157">
        <f>IF(D93="","-",+C151+1)</f>
        <v>2063</v>
      </c>
      <c r="D152" s="158">
        <f>IF(F151+SUM(E$101:E151)=D$92,F151,D$92-SUM(E$101:E151))</f>
        <v>0</v>
      </c>
      <c r="E152" s="165">
        <f t="shared" si="33"/>
        <v>0</v>
      </c>
      <c r="F152" s="163">
        <f t="shared" si="42"/>
        <v>0</v>
      </c>
      <c r="G152" s="163">
        <f t="shared" si="37"/>
        <v>0</v>
      </c>
      <c r="H152" s="167">
        <f t="shared" si="38"/>
        <v>0</v>
      </c>
      <c r="I152" s="317">
        <f t="shared" si="39"/>
        <v>0</v>
      </c>
      <c r="J152" s="162">
        <f t="shared" si="40"/>
        <v>0</v>
      </c>
      <c r="K152" s="162"/>
      <c r="L152" s="335"/>
      <c r="M152" s="162">
        <f t="shared" si="34"/>
        <v>0</v>
      </c>
      <c r="N152" s="335"/>
      <c r="O152" s="162">
        <f t="shared" si="35"/>
        <v>0</v>
      </c>
      <c r="P152" s="162">
        <f t="shared" si="36"/>
        <v>0</v>
      </c>
    </row>
    <row r="153" spans="2:16">
      <c r="B153" s="9" t="str">
        <f t="shared" si="41"/>
        <v/>
      </c>
      <c r="C153" s="157">
        <f>IF(D93="","-",+C152+1)</f>
        <v>2064</v>
      </c>
      <c r="D153" s="158">
        <f>IF(F152+SUM(E$101:E152)=D$92,F152,D$92-SUM(E$101:E152))</f>
        <v>0</v>
      </c>
      <c r="E153" s="165">
        <f t="shared" si="33"/>
        <v>0</v>
      </c>
      <c r="F153" s="163">
        <f t="shared" si="42"/>
        <v>0</v>
      </c>
      <c r="G153" s="163">
        <f t="shared" si="37"/>
        <v>0</v>
      </c>
      <c r="H153" s="167">
        <f t="shared" si="38"/>
        <v>0</v>
      </c>
      <c r="I153" s="317">
        <f t="shared" si="39"/>
        <v>0</v>
      </c>
      <c r="J153" s="162">
        <f t="shared" si="40"/>
        <v>0</v>
      </c>
      <c r="K153" s="162"/>
      <c r="L153" s="335"/>
      <c r="M153" s="162">
        <f t="shared" si="34"/>
        <v>0</v>
      </c>
      <c r="N153" s="335"/>
      <c r="O153" s="162">
        <f t="shared" si="35"/>
        <v>0</v>
      </c>
      <c r="P153" s="162">
        <f t="shared" si="36"/>
        <v>0</v>
      </c>
    </row>
    <row r="154" spans="2:16" ht="13.5" thickBot="1">
      <c r="B154" s="9" t="str">
        <f t="shared" si="41"/>
        <v/>
      </c>
      <c r="C154" s="168">
        <f>IF(D93="","-",+C153+1)</f>
        <v>2065</v>
      </c>
      <c r="D154" s="219">
        <f>IF(F153+SUM(E$101:E153)=D$92,F153,D$92-SUM(E$101:E153))</f>
        <v>0</v>
      </c>
      <c r="E154" s="377">
        <f t="shared" si="33"/>
        <v>0</v>
      </c>
      <c r="F154" s="169">
        <f t="shared" si="42"/>
        <v>0</v>
      </c>
      <c r="G154" s="169">
        <f t="shared" si="37"/>
        <v>0</v>
      </c>
      <c r="H154" s="171">
        <f t="shared" si="38"/>
        <v>0</v>
      </c>
      <c r="I154" s="318">
        <f t="shared" si="39"/>
        <v>0</v>
      </c>
      <c r="J154" s="173">
        <f t="shared" si="40"/>
        <v>0</v>
      </c>
      <c r="K154" s="162"/>
      <c r="L154" s="336"/>
      <c r="M154" s="173">
        <f t="shared" si="34"/>
        <v>0</v>
      </c>
      <c r="N154" s="336"/>
      <c r="O154" s="173">
        <f t="shared" si="35"/>
        <v>0</v>
      </c>
      <c r="P154" s="173">
        <f t="shared" si="36"/>
        <v>0</v>
      </c>
    </row>
    <row r="155" spans="2:16">
      <c r="C155" s="158" t="s">
        <v>72</v>
      </c>
      <c r="D155" s="115"/>
      <c r="E155" s="115">
        <f>SUM(E101:E154)</f>
        <v>22097</v>
      </c>
      <c r="F155" s="115"/>
      <c r="G155" s="115"/>
      <c r="H155" s="115">
        <f>SUM(H101:H154)</f>
        <v>90377.85391671196</v>
      </c>
      <c r="I155" s="115">
        <f>SUM(I101:I154)</f>
        <v>90377.85391671196</v>
      </c>
      <c r="J155" s="115">
        <f>SUM(J101:J154)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33" priority="3" stopIfTrue="1" operator="equal">
      <formula>$I$10</formula>
    </cfRule>
  </conditionalFormatting>
  <conditionalFormatting sqref="C102:C152">
    <cfRule type="cellIs" dxfId="32" priority="4" stopIfTrue="1" operator="equal">
      <formula>$J$92</formula>
    </cfRule>
  </conditionalFormatting>
  <conditionalFormatting sqref="C153:C154">
    <cfRule type="cellIs" dxfId="31" priority="2" stopIfTrue="1" operator="equal">
      <formula>$J$92</formula>
    </cfRule>
  </conditionalFormatting>
  <conditionalFormatting sqref="C100:C101">
    <cfRule type="cellIs" dxfId="30" priority="1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P162"/>
  <sheetViews>
    <sheetView view="pageBreakPreview" zoomScale="75" zoomScaleNormal="100" zoomScaleSheetLayoutView="75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14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120629.38384333157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120629.38384333157</v>
      </c>
      <c r="O6" s="1"/>
      <c r="P6" s="1"/>
    </row>
    <row r="7" spans="1:16" ht="13.5" thickBot="1">
      <c r="C7" s="127" t="s">
        <v>41</v>
      </c>
      <c r="D7" s="227" t="s">
        <v>232</v>
      </c>
      <c r="E7" s="406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231</v>
      </c>
      <c r="E9" s="428" t="s">
        <v>314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1035552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2013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2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25888.799999999999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1" t="s">
        <v>100</v>
      </c>
      <c r="O16" s="156" t="s">
        <v>100</v>
      </c>
      <c r="P16" s="4"/>
    </row>
    <row r="17" spans="2:16">
      <c r="B17" s="9"/>
      <c r="C17" s="157">
        <f>IF(D11= "","-",D11)</f>
        <v>2013</v>
      </c>
      <c r="D17" s="427">
        <v>5562500</v>
      </c>
      <c r="E17" s="446">
        <v>89142.628205128203</v>
      </c>
      <c r="F17" s="427">
        <v>5473357.371794872</v>
      </c>
      <c r="G17" s="446">
        <v>870775.06277038739</v>
      </c>
      <c r="H17" s="425">
        <v>870775.06277038739</v>
      </c>
      <c r="I17" s="160">
        <v>0</v>
      </c>
      <c r="J17" s="175"/>
      <c r="K17" s="337">
        <f t="shared" ref="K17:K22" si="0">G17</f>
        <v>870775.06277038739</v>
      </c>
      <c r="L17" s="440">
        <f t="shared" ref="L17:L22" si="1">IF(K17&lt;&gt;0,+G17-K17,0)</f>
        <v>0</v>
      </c>
      <c r="M17" s="337">
        <f t="shared" ref="M17:M22" si="2">H17</f>
        <v>870775.06277038739</v>
      </c>
      <c r="N17" s="161">
        <f t="shared" ref="N17:N22" si="3">IF(M17&lt;&gt;0,+H17-M17,0)</f>
        <v>0</v>
      </c>
      <c r="O17" s="160">
        <f t="shared" ref="O17:O22" si="4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2014</v>
      </c>
      <c r="D18" s="438">
        <v>5473357</v>
      </c>
      <c r="E18" s="437">
        <v>19910</v>
      </c>
      <c r="F18" s="438">
        <v>5453447</v>
      </c>
      <c r="G18" s="437">
        <v>770625</v>
      </c>
      <c r="H18" s="439">
        <v>770625</v>
      </c>
      <c r="I18" s="160">
        <f>H18-G18</f>
        <v>0</v>
      </c>
      <c r="J18" s="175"/>
      <c r="K18" s="338">
        <f t="shared" si="0"/>
        <v>770625</v>
      </c>
      <c r="L18" s="440">
        <f t="shared" si="1"/>
        <v>0</v>
      </c>
      <c r="M18" s="338">
        <f t="shared" si="2"/>
        <v>770625</v>
      </c>
      <c r="N18" s="162">
        <f t="shared" si="3"/>
        <v>0</v>
      </c>
      <c r="O18" s="160">
        <f t="shared" si="4"/>
        <v>0</v>
      </c>
      <c r="P18" s="4"/>
    </row>
    <row r="19" spans="2:16">
      <c r="B19" s="9" t="str">
        <f>IF(D19=F18,"","IU")</f>
        <v/>
      </c>
      <c r="C19" s="157">
        <f>IF(D11="","-",+C18+1)</f>
        <v>2015</v>
      </c>
      <c r="D19" s="438">
        <v>5453447</v>
      </c>
      <c r="E19" s="437">
        <f t="shared" ref="E19:E71" si="5">IF(+$I$14&lt;F18,$I$14,D19)</f>
        <v>25888.799999999999</v>
      </c>
      <c r="F19" s="438">
        <v>5433533</v>
      </c>
      <c r="G19" s="437">
        <v>769045</v>
      </c>
      <c r="H19" s="439">
        <v>769045</v>
      </c>
      <c r="I19" s="160">
        <f t="shared" ref="I19:I71" si="6">H19-G19</f>
        <v>0</v>
      </c>
      <c r="J19" s="175"/>
      <c r="K19" s="338">
        <f t="shared" si="0"/>
        <v>769045</v>
      </c>
      <c r="L19" s="440">
        <f t="shared" si="1"/>
        <v>0</v>
      </c>
      <c r="M19" s="338">
        <f t="shared" si="2"/>
        <v>769045</v>
      </c>
      <c r="N19" s="162">
        <f t="shared" si="3"/>
        <v>0</v>
      </c>
      <c r="O19" s="160">
        <f t="shared" si="4"/>
        <v>0</v>
      </c>
      <c r="P19" s="4"/>
    </row>
    <row r="20" spans="2:16">
      <c r="B20" s="9" t="str">
        <f t="shared" ref="B20:B72" si="7">IF(D20=F19,"","IU")</f>
        <v>IU</v>
      </c>
      <c r="C20" s="157">
        <f>IF(D11="","-",+C19+1)</f>
        <v>2016</v>
      </c>
      <c r="D20" s="438">
        <v>906584.91025641025</v>
      </c>
      <c r="E20" s="437">
        <v>19914.461538461539</v>
      </c>
      <c r="F20" s="438">
        <v>886670.44871794875</v>
      </c>
      <c r="G20" s="437">
        <v>136209.46153846153</v>
      </c>
      <c r="H20" s="439">
        <v>136209.46153846153</v>
      </c>
      <c r="I20" s="160">
        <f t="shared" si="6"/>
        <v>0</v>
      </c>
      <c r="J20" s="175"/>
      <c r="K20" s="338">
        <f t="shared" si="0"/>
        <v>136209.46153846153</v>
      </c>
      <c r="L20" s="440">
        <f t="shared" si="1"/>
        <v>0</v>
      </c>
      <c r="M20" s="338">
        <f t="shared" si="2"/>
        <v>136209.46153846153</v>
      </c>
      <c r="N20" s="162">
        <f t="shared" si="3"/>
        <v>0</v>
      </c>
      <c r="O20" s="160">
        <f t="shared" si="4"/>
        <v>0</v>
      </c>
      <c r="P20" s="4"/>
    </row>
    <row r="21" spans="2:16">
      <c r="B21" s="9" t="str">
        <f t="shared" si="7"/>
        <v>IU</v>
      </c>
      <c r="C21" s="157">
        <f>IF(D11="","-",+C20+1)</f>
        <v>2017</v>
      </c>
      <c r="D21" s="438">
        <v>884072.91025641025</v>
      </c>
      <c r="E21" s="437">
        <v>22512</v>
      </c>
      <c r="F21" s="438">
        <v>861560.91025641025</v>
      </c>
      <c r="G21" s="437">
        <v>132155</v>
      </c>
      <c r="H21" s="439">
        <v>132155</v>
      </c>
      <c r="I21" s="160">
        <v>0</v>
      </c>
      <c r="J21" s="175"/>
      <c r="K21" s="338">
        <f t="shared" si="0"/>
        <v>132155</v>
      </c>
      <c r="L21" s="440">
        <f t="shared" si="1"/>
        <v>0</v>
      </c>
      <c r="M21" s="338">
        <f t="shared" si="2"/>
        <v>132155</v>
      </c>
      <c r="N21" s="162">
        <f t="shared" si="3"/>
        <v>0</v>
      </c>
      <c r="O21" s="160">
        <f t="shared" si="4"/>
        <v>0</v>
      </c>
      <c r="P21" s="4"/>
    </row>
    <row r="22" spans="2:16">
      <c r="B22" s="9" t="str">
        <f t="shared" si="7"/>
        <v>IU</v>
      </c>
      <c r="C22" s="157">
        <f>IF(D11="","-",+C21+1)</f>
        <v>2018</v>
      </c>
      <c r="D22" s="438">
        <v>861060.64358974365</v>
      </c>
      <c r="E22" s="437">
        <v>23012.266666666666</v>
      </c>
      <c r="F22" s="438">
        <v>838048.37692307692</v>
      </c>
      <c r="G22" s="437">
        <v>124754.01488848326</v>
      </c>
      <c r="H22" s="439">
        <v>124754.01488848326</v>
      </c>
      <c r="I22" s="160">
        <f t="shared" si="6"/>
        <v>0</v>
      </c>
      <c r="J22" s="175"/>
      <c r="K22" s="338">
        <f t="shared" si="0"/>
        <v>124754.01488848326</v>
      </c>
      <c r="L22" s="440">
        <f t="shared" si="1"/>
        <v>0</v>
      </c>
      <c r="M22" s="338">
        <f t="shared" si="2"/>
        <v>124754.01488848326</v>
      </c>
      <c r="N22" s="162">
        <f t="shared" si="3"/>
        <v>0</v>
      </c>
      <c r="O22" s="160">
        <f t="shared" si="4"/>
        <v>0</v>
      </c>
      <c r="P22" s="4"/>
    </row>
    <row r="23" spans="2:16">
      <c r="B23" s="9" t="str">
        <f t="shared" si="7"/>
        <v>IU</v>
      </c>
      <c r="C23" s="157">
        <f>IF(D11="","-",+C22+1)</f>
        <v>2019</v>
      </c>
      <c r="D23" s="163">
        <f>IF(F22+SUM(E$17:E22)=D$10,F22,D$10-SUM(E$17:E22))</f>
        <v>835171.8435897436</v>
      </c>
      <c r="E23" s="164">
        <f t="shared" si="5"/>
        <v>25888.799999999999</v>
      </c>
      <c r="F23" s="163">
        <f t="shared" ref="F23:F71" si="8">+D23-E23</f>
        <v>809283.04358974355</v>
      </c>
      <c r="G23" s="165">
        <f t="shared" ref="G23:G71" si="9">(D23+F23)/2*I$12+E23</f>
        <v>120629.38384333157</v>
      </c>
      <c r="H23" s="147">
        <f t="shared" ref="H23:H71" si="10">+(D23+F23)/2*I$13+E23</f>
        <v>120629.38384333157</v>
      </c>
      <c r="I23" s="160">
        <f t="shared" si="6"/>
        <v>0</v>
      </c>
      <c r="J23" s="160"/>
      <c r="K23" s="335"/>
      <c r="L23" s="162">
        <f t="shared" ref="L23:L72" si="11">IF(K23&lt;&gt;0,+G23-K23,0)</f>
        <v>0</v>
      </c>
      <c r="M23" s="335"/>
      <c r="N23" s="162">
        <f t="shared" ref="N23:N72" si="12">IF(M23&lt;&gt;0,+H23-M23,0)</f>
        <v>0</v>
      </c>
      <c r="O23" s="162">
        <f t="shared" ref="O23:O72" si="13">+N23-L23</f>
        <v>0</v>
      </c>
      <c r="P23" s="4"/>
    </row>
    <row r="24" spans="2:16">
      <c r="B24" s="9" t="str">
        <f t="shared" si="7"/>
        <v/>
      </c>
      <c r="C24" s="157">
        <f>IF(D11="","-",+C23+1)</f>
        <v>2020</v>
      </c>
      <c r="D24" s="163">
        <f>IF(F23+SUM(E$17:E23)=D$10,F23,D$10-SUM(E$17:E23))</f>
        <v>809283.04358974355</v>
      </c>
      <c r="E24" s="164">
        <f t="shared" si="5"/>
        <v>25888.799999999999</v>
      </c>
      <c r="F24" s="163">
        <f t="shared" si="8"/>
        <v>783394.24358974351</v>
      </c>
      <c r="G24" s="165">
        <f t="shared" si="9"/>
        <v>117646.36491575239</v>
      </c>
      <c r="H24" s="147">
        <f t="shared" si="10"/>
        <v>117646.36491575239</v>
      </c>
      <c r="I24" s="160">
        <f t="shared" si="6"/>
        <v>0</v>
      </c>
      <c r="J24" s="160"/>
      <c r="K24" s="335"/>
      <c r="L24" s="162">
        <f t="shared" si="11"/>
        <v>0</v>
      </c>
      <c r="M24" s="335"/>
      <c r="N24" s="162">
        <f t="shared" si="12"/>
        <v>0</v>
      </c>
      <c r="O24" s="162">
        <f t="shared" si="13"/>
        <v>0</v>
      </c>
      <c r="P24" s="4"/>
    </row>
    <row r="25" spans="2:16">
      <c r="B25" s="9" t="str">
        <f t="shared" si="7"/>
        <v/>
      </c>
      <c r="C25" s="157">
        <f>IF(D11="","-",+C24+1)</f>
        <v>2021</v>
      </c>
      <c r="D25" s="163">
        <f>IF(F24+SUM(E$17:E24)=D$10,F24,D$10-SUM(E$17:E24))</f>
        <v>783394.24358974351</v>
      </c>
      <c r="E25" s="164">
        <f t="shared" si="5"/>
        <v>25888.799999999999</v>
      </c>
      <c r="F25" s="163">
        <f t="shared" si="8"/>
        <v>757505.44358974346</v>
      </c>
      <c r="G25" s="165">
        <f t="shared" si="9"/>
        <v>114663.34598817321</v>
      </c>
      <c r="H25" s="147">
        <f t="shared" si="10"/>
        <v>114663.34598817321</v>
      </c>
      <c r="I25" s="160">
        <f t="shared" si="6"/>
        <v>0</v>
      </c>
      <c r="J25" s="160"/>
      <c r="K25" s="335"/>
      <c r="L25" s="162">
        <f t="shared" si="11"/>
        <v>0</v>
      </c>
      <c r="M25" s="335"/>
      <c r="N25" s="162">
        <f t="shared" si="12"/>
        <v>0</v>
      </c>
      <c r="O25" s="162">
        <f t="shared" si="13"/>
        <v>0</v>
      </c>
      <c r="P25" s="4"/>
    </row>
    <row r="26" spans="2:16">
      <c r="B26" s="9" t="str">
        <f t="shared" si="7"/>
        <v/>
      </c>
      <c r="C26" s="157">
        <f>IF(D11="","-",+C25+1)</f>
        <v>2022</v>
      </c>
      <c r="D26" s="163">
        <f>IF(F25+SUM(E$17:E25)=D$10,F25,D$10-SUM(E$17:E25))</f>
        <v>757505.44358974346</v>
      </c>
      <c r="E26" s="164">
        <f t="shared" si="5"/>
        <v>25888.799999999999</v>
      </c>
      <c r="F26" s="163">
        <f t="shared" si="8"/>
        <v>731616.64358974341</v>
      </c>
      <c r="G26" s="165">
        <f t="shared" si="9"/>
        <v>111680.32706059403</v>
      </c>
      <c r="H26" s="147">
        <f t="shared" si="10"/>
        <v>111680.32706059403</v>
      </c>
      <c r="I26" s="160">
        <f t="shared" si="6"/>
        <v>0</v>
      </c>
      <c r="J26" s="160"/>
      <c r="K26" s="335"/>
      <c r="L26" s="162">
        <f t="shared" si="11"/>
        <v>0</v>
      </c>
      <c r="M26" s="335"/>
      <c r="N26" s="162">
        <f t="shared" si="12"/>
        <v>0</v>
      </c>
      <c r="O26" s="162">
        <f t="shared" si="13"/>
        <v>0</v>
      </c>
      <c r="P26" s="4"/>
    </row>
    <row r="27" spans="2:16">
      <c r="B27" s="9" t="str">
        <f t="shared" si="7"/>
        <v/>
      </c>
      <c r="C27" s="157">
        <f>IF(D11="","-",+C26+1)</f>
        <v>2023</v>
      </c>
      <c r="D27" s="163">
        <f>IF(F26+SUM(E$17:E26)=D$10,F26,D$10-SUM(E$17:E26))</f>
        <v>731616.64358974341</v>
      </c>
      <c r="E27" s="164">
        <f t="shared" si="5"/>
        <v>25888.799999999999</v>
      </c>
      <c r="F27" s="163">
        <f t="shared" si="8"/>
        <v>705727.84358974337</v>
      </c>
      <c r="G27" s="165">
        <f t="shared" si="9"/>
        <v>108697.30813301486</v>
      </c>
      <c r="H27" s="147">
        <f t="shared" si="10"/>
        <v>108697.30813301486</v>
      </c>
      <c r="I27" s="160">
        <f t="shared" si="6"/>
        <v>0</v>
      </c>
      <c r="J27" s="160"/>
      <c r="K27" s="335"/>
      <c r="L27" s="162">
        <f t="shared" si="11"/>
        <v>0</v>
      </c>
      <c r="M27" s="335"/>
      <c r="N27" s="162">
        <f t="shared" si="12"/>
        <v>0</v>
      </c>
      <c r="O27" s="162">
        <f t="shared" si="13"/>
        <v>0</v>
      </c>
      <c r="P27" s="4"/>
    </row>
    <row r="28" spans="2:16">
      <c r="B28" s="9" t="str">
        <f t="shared" si="7"/>
        <v/>
      </c>
      <c r="C28" s="157">
        <f>IF(D11="","-",+C27+1)</f>
        <v>2024</v>
      </c>
      <c r="D28" s="163">
        <f>IF(F27+SUM(E$17:E27)=D$10,F27,D$10-SUM(E$17:E27))</f>
        <v>705727.84358974337</v>
      </c>
      <c r="E28" s="164">
        <f t="shared" si="5"/>
        <v>25888.799999999999</v>
      </c>
      <c r="F28" s="163">
        <f t="shared" si="8"/>
        <v>679839.04358974332</v>
      </c>
      <c r="G28" s="165">
        <f t="shared" si="9"/>
        <v>105714.28920543568</v>
      </c>
      <c r="H28" s="147">
        <f t="shared" si="10"/>
        <v>105714.28920543568</v>
      </c>
      <c r="I28" s="160">
        <f t="shared" si="6"/>
        <v>0</v>
      </c>
      <c r="J28" s="160"/>
      <c r="K28" s="335"/>
      <c r="L28" s="162">
        <f t="shared" si="11"/>
        <v>0</v>
      </c>
      <c r="M28" s="335"/>
      <c r="N28" s="162">
        <f t="shared" si="12"/>
        <v>0</v>
      </c>
      <c r="O28" s="162">
        <f t="shared" si="13"/>
        <v>0</v>
      </c>
      <c r="P28" s="4"/>
    </row>
    <row r="29" spans="2:16">
      <c r="B29" s="9" t="str">
        <f t="shared" si="7"/>
        <v/>
      </c>
      <c r="C29" s="157">
        <f>IF(D11="","-",+C28+1)</f>
        <v>2025</v>
      </c>
      <c r="D29" s="163">
        <f>IF(F28+SUM(E$17:E28)=D$10,F28,D$10-SUM(E$17:E28))</f>
        <v>679839.04358974332</v>
      </c>
      <c r="E29" s="164">
        <f t="shared" si="5"/>
        <v>25888.799999999999</v>
      </c>
      <c r="F29" s="163">
        <f t="shared" si="8"/>
        <v>653950.24358974327</v>
      </c>
      <c r="G29" s="165">
        <f t="shared" si="9"/>
        <v>102731.2702778565</v>
      </c>
      <c r="H29" s="147">
        <f t="shared" si="10"/>
        <v>102731.2702778565</v>
      </c>
      <c r="I29" s="160">
        <f t="shared" si="6"/>
        <v>0</v>
      </c>
      <c r="J29" s="160"/>
      <c r="K29" s="335"/>
      <c r="L29" s="162">
        <f t="shared" si="11"/>
        <v>0</v>
      </c>
      <c r="M29" s="335"/>
      <c r="N29" s="162">
        <f t="shared" si="12"/>
        <v>0</v>
      </c>
      <c r="O29" s="162">
        <f t="shared" si="13"/>
        <v>0</v>
      </c>
      <c r="P29" s="4"/>
    </row>
    <row r="30" spans="2:16">
      <c r="B30" s="9" t="str">
        <f t="shared" si="7"/>
        <v/>
      </c>
      <c r="C30" s="157">
        <f>IF(D11="","-",+C29+1)</f>
        <v>2026</v>
      </c>
      <c r="D30" s="163">
        <f>IF(F29+SUM(E$17:E29)=D$10,F29,D$10-SUM(E$17:E29))</f>
        <v>653950.24358974327</v>
      </c>
      <c r="E30" s="164">
        <f t="shared" si="5"/>
        <v>25888.799999999999</v>
      </c>
      <c r="F30" s="163">
        <f t="shared" si="8"/>
        <v>628061.44358974323</v>
      </c>
      <c r="G30" s="165">
        <f t="shared" si="9"/>
        <v>99748.251350277307</v>
      </c>
      <c r="H30" s="147">
        <f t="shared" si="10"/>
        <v>99748.251350277307</v>
      </c>
      <c r="I30" s="160">
        <f t="shared" si="6"/>
        <v>0</v>
      </c>
      <c r="J30" s="160"/>
      <c r="K30" s="335"/>
      <c r="L30" s="162">
        <f t="shared" si="11"/>
        <v>0</v>
      </c>
      <c r="M30" s="335"/>
      <c r="N30" s="162">
        <f t="shared" si="12"/>
        <v>0</v>
      </c>
      <c r="O30" s="162">
        <f t="shared" si="13"/>
        <v>0</v>
      </c>
      <c r="P30" s="4"/>
    </row>
    <row r="31" spans="2:16">
      <c r="B31" s="9" t="str">
        <f t="shared" si="7"/>
        <v/>
      </c>
      <c r="C31" s="157">
        <f>IF(D11="","-",+C30+1)</f>
        <v>2027</v>
      </c>
      <c r="D31" s="163">
        <f>IF(F30+SUM(E$17:E30)=D$10,F30,D$10-SUM(E$17:E30))</f>
        <v>628061.44358974323</v>
      </c>
      <c r="E31" s="164">
        <f t="shared" si="5"/>
        <v>25888.799999999999</v>
      </c>
      <c r="F31" s="163">
        <f t="shared" si="8"/>
        <v>602172.64358974318</v>
      </c>
      <c r="G31" s="165">
        <f t="shared" si="9"/>
        <v>96765.232422698129</v>
      </c>
      <c r="H31" s="147">
        <f t="shared" si="10"/>
        <v>96765.232422698129</v>
      </c>
      <c r="I31" s="160">
        <f t="shared" si="6"/>
        <v>0</v>
      </c>
      <c r="J31" s="160"/>
      <c r="K31" s="335"/>
      <c r="L31" s="162">
        <f t="shared" si="11"/>
        <v>0</v>
      </c>
      <c r="M31" s="335"/>
      <c r="N31" s="162">
        <f t="shared" si="12"/>
        <v>0</v>
      </c>
      <c r="O31" s="162">
        <f t="shared" si="13"/>
        <v>0</v>
      </c>
      <c r="P31" s="4"/>
    </row>
    <row r="32" spans="2:16">
      <c r="B32" s="9" t="str">
        <f t="shared" si="7"/>
        <v/>
      </c>
      <c r="C32" s="157">
        <f>IF(D11="","-",+C31+1)</f>
        <v>2028</v>
      </c>
      <c r="D32" s="163">
        <f>IF(F31+SUM(E$17:E31)=D$10,F31,D$10-SUM(E$17:E31))</f>
        <v>602172.64358974318</v>
      </c>
      <c r="E32" s="164">
        <f t="shared" si="5"/>
        <v>25888.799999999999</v>
      </c>
      <c r="F32" s="163">
        <f t="shared" si="8"/>
        <v>576283.84358974313</v>
      </c>
      <c r="G32" s="165">
        <f t="shared" si="9"/>
        <v>93782.213495118951</v>
      </c>
      <c r="H32" s="147">
        <f t="shared" si="10"/>
        <v>93782.213495118951</v>
      </c>
      <c r="I32" s="160">
        <f t="shared" si="6"/>
        <v>0</v>
      </c>
      <c r="J32" s="160"/>
      <c r="K32" s="335"/>
      <c r="L32" s="162">
        <f t="shared" si="11"/>
        <v>0</v>
      </c>
      <c r="M32" s="335"/>
      <c r="N32" s="162">
        <f t="shared" si="12"/>
        <v>0</v>
      </c>
      <c r="O32" s="162">
        <f t="shared" si="13"/>
        <v>0</v>
      </c>
      <c r="P32" s="4"/>
    </row>
    <row r="33" spans="2:16">
      <c r="B33" s="9" t="str">
        <f t="shared" si="7"/>
        <v/>
      </c>
      <c r="C33" s="157">
        <f>IF(D11="","-",+C32+1)</f>
        <v>2029</v>
      </c>
      <c r="D33" s="163">
        <f>IF(F32+SUM(E$17:E32)=D$10,F32,D$10-SUM(E$17:E32))</f>
        <v>576283.84358974313</v>
      </c>
      <c r="E33" s="164">
        <f t="shared" si="5"/>
        <v>25888.799999999999</v>
      </c>
      <c r="F33" s="163">
        <f t="shared" si="8"/>
        <v>550395.04358974309</v>
      </c>
      <c r="G33" s="165">
        <f t="shared" si="9"/>
        <v>90799.194567539773</v>
      </c>
      <c r="H33" s="147">
        <f t="shared" si="10"/>
        <v>90799.194567539773</v>
      </c>
      <c r="I33" s="160">
        <f t="shared" si="6"/>
        <v>0</v>
      </c>
      <c r="J33" s="160"/>
      <c r="K33" s="335"/>
      <c r="L33" s="162">
        <f t="shared" si="11"/>
        <v>0</v>
      </c>
      <c r="M33" s="335"/>
      <c r="N33" s="162">
        <f t="shared" si="12"/>
        <v>0</v>
      </c>
      <c r="O33" s="162">
        <f t="shared" si="13"/>
        <v>0</v>
      </c>
      <c r="P33" s="4"/>
    </row>
    <row r="34" spans="2:16">
      <c r="B34" s="9" t="str">
        <f t="shared" si="7"/>
        <v/>
      </c>
      <c r="C34" s="157">
        <f>IF(D11="","-",+C33+1)</f>
        <v>2030</v>
      </c>
      <c r="D34" s="163">
        <f>IF(F33+SUM(E$17:E33)=D$10,F33,D$10-SUM(E$17:E33))</f>
        <v>550395.04358974309</v>
      </c>
      <c r="E34" s="164">
        <f t="shared" si="5"/>
        <v>25888.799999999999</v>
      </c>
      <c r="F34" s="163">
        <f t="shared" si="8"/>
        <v>524506.24358974304</v>
      </c>
      <c r="G34" s="165">
        <f t="shared" si="9"/>
        <v>87816.175639960595</v>
      </c>
      <c r="H34" s="147">
        <f t="shared" si="10"/>
        <v>87816.175639960595</v>
      </c>
      <c r="I34" s="160">
        <f t="shared" si="6"/>
        <v>0</v>
      </c>
      <c r="J34" s="160"/>
      <c r="K34" s="335"/>
      <c r="L34" s="162">
        <f t="shared" si="11"/>
        <v>0</v>
      </c>
      <c r="M34" s="335"/>
      <c r="N34" s="162">
        <f t="shared" si="12"/>
        <v>0</v>
      </c>
      <c r="O34" s="162">
        <f t="shared" si="13"/>
        <v>0</v>
      </c>
      <c r="P34" s="4"/>
    </row>
    <row r="35" spans="2:16">
      <c r="B35" s="9" t="str">
        <f t="shared" si="7"/>
        <v/>
      </c>
      <c r="C35" s="157">
        <f>IF(D11="","-",+C34+1)</f>
        <v>2031</v>
      </c>
      <c r="D35" s="163">
        <f>IF(F34+SUM(E$17:E34)=D$10,F34,D$10-SUM(E$17:E34))</f>
        <v>524506.24358974304</v>
      </c>
      <c r="E35" s="164">
        <f t="shared" si="5"/>
        <v>25888.799999999999</v>
      </c>
      <c r="F35" s="163">
        <f t="shared" si="8"/>
        <v>498617.44358974305</v>
      </c>
      <c r="G35" s="165">
        <f t="shared" si="9"/>
        <v>84833.156712381417</v>
      </c>
      <c r="H35" s="147">
        <f t="shared" si="10"/>
        <v>84833.156712381417</v>
      </c>
      <c r="I35" s="160">
        <f t="shared" si="6"/>
        <v>0</v>
      </c>
      <c r="J35" s="160"/>
      <c r="K35" s="335"/>
      <c r="L35" s="162">
        <f t="shared" si="11"/>
        <v>0</v>
      </c>
      <c r="M35" s="335"/>
      <c r="N35" s="162">
        <f t="shared" si="12"/>
        <v>0</v>
      </c>
      <c r="O35" s="162">
        <f t="shared" si="13"/>
        <v>0</v>
      </c>
      <c r="P35" s="4"/>
    </row>
    <row r="36" spans="2:16">
      <c r="B36" s="9" t="str">
        <f t="shared" si="7"/>
        <v/>
      </c>
      <c r="C36" s="157">
        <f>IF(D11="","-",+C35+1)</f>
        <v>2032</v>
      </c>
      <c r="D36" s="163">
        <f>IF(F35+SUM(E$17:E35)=D$10,F35,D$10-SUM(E$17:E35))</f>
        <v>498617.44358974305</v>
      </c>
      <c r="E36" s="164">
        <f t="shared" si="5"/>
        <v>25888.799999999999</v>
      </c>
      <c r="F36" s="163">
        <f t="shared" si="8"/>
        <v>472728.64358974306</v>
      </c>
      <c r="G36" s="165">
        <f t="shared" si="9"/>
        <v>81850.137784802253</v>
      </c>
      <c r="H36" s="147">
        <f t="shared" si="10"/>
        <v>81850.137784802253</v>
      </c>
      <c r="I36" s="160">
        <f t="shared" si="6"/>
        <v>0</v>
      </c>
      <c r="J36" s="160"/>
      <c r="K36" s="335"/>
      <c r="L36" s="162">
        <f t="shared" si="11"/>
        <v>0</v>
      </c>
      <c r="M36" s="335"/>
      <c r="N36" s="162">
        <f t="shared" si="12"/>
        <v>0</v>
      </c>
      <c r="O36" s="162">
        <f t="shared" si="13"/>
        <v>0</v>
      </c>
      <c r="P36" s="4"/>
    </row>
    <row r="37" spans="2:16">
      <c r="B37" s="9" t="str">
        <f t="shared" si="7"/>
        <v/>
      </c>
      <c r="C37" s="157">
        <f>IF(D11="","-",+C36+1)</f>
        <v>2033</v>
      </c>
      <c r="D37" s="163">
        <f>IF(F36+SUM(E$17:E36)=D$10,F36,D$10-SUM(E$17:E36))</f>
        <v>472728.64358974306</v>
      </c>
      <c r="E37" s="164">
        <f t="shared" si="5"/>
        <v>25888.799999999999</v>
      </c>
      <c r="F37" s="163">
        <f t="shared" si="8"/>
        <v>446839.84358974308</v>
      </c>
      <c r="G37" s="165">
        <f t="shared" si="9"/>
        <v>78867.118857223075</v>
      </c>
      <c r="H37" s="147">
        <f t="shared" si="10"/>
        <v>78867.118857223075</v>
      </c>
      <c r="I37" s="160">
        <f t="shared" si="6"/>
        <v>0</v>
      </c>
      <c r="J37" s="160"/>
      <c r="K37" s="335"/>
      <c r="L37" s="162">
        <f t="shared" si="11"/>
        <v>0</v>
      </c>
      <c r="M37" s="335"/>
      <c r="N37" s="162">
        <f t="shared" si="12"/>
        <v>0</v>
      </c>
      <c r="O37" s="162">
        <f t="shared" si="13"/>
        <v>0</v>
      </c>
      <c r="P37" s="4"/>
    </row>
    <row r="38" spans="2:16">
      <c r="B38" s="9" t="str">
        <f t="shared" si="7"/>
        <v/>
      </c>
      <c r="C38" s="157">
        <f>IF(D11="","-",+C37+1)</f>
        <v>2034</v>
      </c>
      <c r="D38" s="163">
        <f>IF(F37+SUM(E$17:E37)=D$10,F37,D$10-SUM(E$17:E37))</f>
        <v>446839.84358974308</v>
      </c>
      <c r="E38" s="164">
        <f t="shared" si="5"/>
        <v>25888.799999999999</v>
      </c>
      <c r="F38" s="163">
        <f t="shared" si="8"/>
        <v>420951.04358974309</v>
      </c>
      <c r="G38" s="165">
        <f t="shared" si="9"/>
        <v>75884.099929643911</v>
      </c>
      <c r="H38" s="147">
        <f t="shared" si="10"/>
        <v>75884.099929643911</v>
      </c>
      <c r="I38" s="160">
        <f t="shared" si="6"/>
        <v>0</v>
      </c>
      <c r="J38" s="160"/>
      <c r="K38" s="335"/>
      <c r="L38" s="162">
        <f t="shared" si="11"/>
        <v>0</v>
      </c>
      <c r="M38" s="335"/>
      <c r="N38" s="162">
        <f t="shared" si="12"/>
        <v>0</v>
      </c>
      <c r="O38" s="162">
        <f t="shared" si="13"/>
        <v>0</v>
      </c>
      <c r="P38" s="4"/>
    </row>
    <row r="39" spans="2:16">
      <c r="B39" s="9" t="str">
        <f t="shared" si="7"/>
        <v/>
      </c>
      <c r="C39" s="157">
        <f>IF(D11="","-",+C38+1)</f>
        <v>2035</v>
      </c>
      <c r="D39" s="163">
        <f>IF(F38+SUM(E$17:E38)=D$10,F38,D$10-SUM(E$17:E38))</f>
        <v>420951.04358974309</v>
      </c>
      <c r="E39" s="164">
        <f t="shared" si="5"/>
        <v>25888.799999999999</v>
      </c>
      <c r="F39" s="163">
        <f t="shared" si="8"/>
        <v>395062.2435897431</v>
      </c>
      <c r="G39" s="165">
        <f t="shared" si="9"/>
        <v>72901.081002064733</v>
      </c>
      <c r="H39" s="147">
        <f t="shared" si="10"/>
        <v>72901.081002064733</v>
      </c>
      <c r="I39" s="160">
        <f t="shared" si="6"/>
        <v>0</v>
      </c>
      <c r="J39" s="160"/>
      <c r="K39" s="335"/>
      <c r="L39" s="162">
        <f t="shared" si="11"/>
        <v>0</v>
      </c>
      <c r="M39" s="335"/>
      <c r="N39" s="162">
        <f t="shared" si="12"/>
        <v>0</v>
      </c>
      <c r="O39" s="162">
        <f t="shared" si="13"/>
        <v>0</v>
      </c>
      <c r="P39" s="4"/>
    </row>
    <row r="40" spans="2:16">
      <c r="B40" s="9" t="str">
        <f t="shared" si="7"/>
        <v/>
      </c>
      <c r="C40" s="157">
        <f>IF(D11="","-",+C39+1)</f>
        <v>2036</v>
      </c>
      <c r="D40" s="163">
        <f>IF(F39+SUM(E$17:E39)=D$10,F39,D$10-SUM(E$17:E39))</f>
        <v>395062.2435897431</v>
      </c>
      <c r="E40" s="164">
        <f t="shared" si="5"/>
        <v>25888.799999999999</v>
      </c>
      <c r="F40" s="163">
        <f t="shared" si="8"/>
        <v>369173.44358974311</v>
      </c>
      <c r="G40" s="165">
        <f t="shared" si="9"/>
        <v>69918.06207448557</v>
      </c>
      <c r="H40" s="147">
        <f t="shared" si="10"/>
        <v>69918.06207448557</v>
      </c>
      <c r="I40" s="160">
        <f t="shared" si="6"/>
        <v>0</v>
      </c>
      <c r="J40" s="160"/>
      <c r="K40" s="335"/>
      <c r="L40" s="162">
        <f t="shared" si="11"/>
        <v>0</v>
      </c>
      <c r="M40" s="335"/>
      <c r="N40" s="162">
        <f t="shared" si="12"/>
        <v>0</v>
      </c>
      <c r="O40" s="162">
        <f t="shared" si="13"/>
        <v>0</v>
      </c>
      <c r="P40" s="4"/>
    </row>
    <row r="41" spans="2:16">
      <c r="B41" s="9" t="str">
        <f t="shared" si="7"/>
        <v/>
      </c>
      <c r="C41" s="157">
        <f>IF(D11="","-",+C40+1)</f>
        <v>2037</v>
      </c>
      <c r="D41" s="163">
        <f>IF(F40+SUM(E$17:E40)=D$10,F40,D$10-SUM(E$17:E40))</f>
        <v>369173.44358974311</v>
      </c>
      <c r="E41" s="164">
        <f t="shared" si="5"/>
        <v>25888.799999999999</v>
      </c>
      <c r="F41" s="163">
        <f t="shared" si="8"/>
        <v>343284.64358974312</v>
      </c>
      <c r="G41" s="165">
        <f t="shared" si="9"/>
        <v>66935.043146906391</v>
      </c>
      <c r="H41" s="147">
        <f t="shared" si="10"/>
        <v>66935.043146906391</v>
      </c>
      <c r="I41" s="160">
        <f t="shared" si="6"/>
        <v>0</v>
      </c>
      <c r="J41" s="160"/>
      <c r="K41" s="335"/>
      <c r="L41" s="162">
        <f t="shared" si="11"/>
        <v>0</v>
      </c>
      <c r="M41" s="335"/>
      <c r="N41" s="162">
        <f t="shared" si="12"/>
        <v>0</v>
      </c>
      <c r="O41" s="162">
        <f t="shared" si="13"/>
        <v>0</v>
      </c>
      <c r="P41" s="4"/>
    </row>
    <row r="42" spans="2:16">
      <c r="B42" s="9" t="str">
        <f t="shared" si="7"/>
        <v/>
      </c>
      <c r="C42" s="157">
        <f>IF(D11="","-",+C41+1)</f>
        <v>2038</v>
      </c>
      <c r="D42" s="163">
        <f>IF(F41+SUM(E$17:E41)=D$10,F41,D$10-SUM(E$17:E41))</f>
        <v>343284.64358974312</v>
      </c>
      <c r="E42" s="164">
        <f t="shared" si="5"/>
        <v>25888.799999999999</v>
      </c>
      <c r="F42" s="163">
        <f t="shared" si="8"/>
        <v>317395.84358974313</v>
      </c>
      <c r="G42" s="165">
        <f t="shared" si="9"/>
        <v>63952.024219327213</v>
      </c>
      <c r="H42" s="147">
        <f t="shared" si="10"/>
        <v>63952.024219327213</v>
      </c>
      <c r="I42" s="160">
        <f t="shared" si="6"/>
        <v>0</v>
      </c>
      <c r="J42" s="160"/>
      <c r="K42" s="335"/>
      <c r="L42" s="162">
        <f t="shared" si="11"/>
        <v>0</v>
      </c>
      <c r="M42" s="335"/>
      <c r="N42" s="162">
        <f t="shared" si="12"/>
        <v>0</v>
      </c>
      <c r="O42" s="162">
        <f t="shared" si="13"/>
        <v>0</v>
      </c>
      <c r="P42" s="4"/>
    </row>
    <row r="43" spans="2:16">
      <c r="B43" s="9" t="str">
        <f t="shared" si="7"/>
        <v/>
      </c>
      <c r="C43" s="157">
        <f>IF(D11="","-",+C42+1)</f>
        <v>2039</v>
      </c>
      <c r="D43" s="163">
        <f>IF(F42+SUM(E$17:E42)=D$10,F42,D$10-SUM(E$17:E42))</f>
        <v>317395.84358974313</v>
      </c>
      <c r="E43" s="164">
        <f t="shared" si="5"/>
        <v>25888.799999999999</v>
      </c>
      <c r="F43" s="163">
        <f t="shared" si="8"/>
        <v>291507.04358974315</v>
      </c>
      <c r="G43" s="165">
        <f t="shared" si="9"/>
        <v>60969.005291748035</v>
      </c>
      <c r="H43" s="147">
        <f t="shared" si="10"/>
        <v>60969.005291748035</v>
      </c>
      <c r="I43" s="160">
        <f t="shared" si="6"/>
        <v>0</v>
      </c>
      <c r="J43" s="160"/>
      <c r="K43" s="335"/>
      <c r="L43" s="162">
        <f t="shared" si="11"/>
        <v>0</v>
      </c>
      <c r="M43" s="335"/>
      <c r="N43" s="162">
        <f t="shared" si="12"/>
        <v>0</v>
      </c>
      <c r="O43" s="162">
        <f t="shared" si="13"/>
        <v>0</v>
      </c>
      <c r="P43" s="4"/>
    </row>
    <row r="44" spans="2:16">
      <c r="B44" s="9" t="str">
        <f t="shared" si="7"/>
        <v/>
      </c>
      <c r="C44" s="157">
        <f>IF(D11="","-",+C43+1)</f>
        <v>2040</v>
      </c>
      <c r="D44" s="163">
        <f>IF(F43+SUM(E$17:E43)=D$10,F43,D$10-SUM(E$17:E43))</f>
        <v>291507.04358974315</v>
      </c>
      <c r="E44" s="164">
        <f t="shared" si="5"/>
        <v>25888.799999999999</v>
      </c>
      <c r="F44" s="163">
        <f t="shared" si="8"/>
        <v>265618.24358974316</v>
      </c>
      <c r="G44" s="165">
        <f t="shared" si="9"/>
        <v>57985.986364168872</v>
      </c>
      <c r="H44" s="147">
        <f t="shared" si="10"/>
        <v>57985.986364168872</v>
      </c>
      <c r="I44" s="160">
        <f t="shared" si="6"/>
        <v>0</v>
      </c>
      <c r="J44" s="160"/>
      <c r="K44" s="335"/>
      <c r="L44" s="162">
        <f t="shared" si="11"/>
        <v>0</v>
      </c>
      <c r="M44" s="335"/>
      <c r="N44" s="162">
        <f t="shared" si="12"/>
        <v>0</v>
      </c>
      <c r="O44" s="162">
        <f t="shared" si="13"/>
        <v>0</v>
      </c>
      <c r="P44" s="4"/>
    </row>
    <row r="45" spans="2:16">
      <c r="B45" s="9" t="str">
        <f t="shared" si="7"/>
        <v/>
      </c>
      <c r="C45" s="157">
        <f>IF(D11="","-",+C44+1)</f>
        <v>2041</v>
      </c>
      <c r="D45" s="163">
        <f>IF(F44+SUM(E$17:E44)=D$10,F44,D$10-SUM(E$17:E44))</f>
        <v>265618.24358974316</v>
      </c>
      <c r="E45" s="164">
        <f t="shared" si="5"/>
        <v>25888.799999999999</v>
      </c>
      <c r="F45" s="163">
        <f t="shared" si="8"/>
        <v>239729.44358974317</v>
      </c>
      <c r="G45" s="165">
        <f t="shared" si="9"/>
        <v>55002.967436589701</v>
      </c>
      <c r="H45" s="147">
        <f t="shared" si="10"/>
        <v>55002.967436589701</v>
      </c>
      <c r="I45" s="160">
        <f t="shared" si="6"/>
        <v>0</v>
      </c>
      <c r="J45" s="160"/>
      <c r="K45" s="335"/>
      <c r="L45" s="162">
        <f t="shared" si="11"/>
        <v>0</v>
      </c>
      <c r="M45" s="335"/>
      <c r="N45" s="162">
        <f t="shared" si="12"/>
        <v>0</v>
      </c>
      <c r="O45" s="162">
        <f t="shared" si="13"/>
        <v>0</v>
      </c>
      <c r="P45" s="4"/>
    </row>
    <row r="46" spans="2:16">
      <c r="B46" s="9" t="str">
        <f t="shared" si="7"/>
        <v/>
      </c>
      <c r="C46" s="157">
        <f>IF(D11="","-",+C45+1)</f>
        <v>2042</v>
      </c>
      <c r="D46" s="163">
        <f>IF(F45+SUM(E$17:E45)=D$10,F45,D$10-SUM(E$17:E45))</f>
        <v>239729.44358974317</v>
      </c>
      <c r="E46" s="164">
        <f t="shared" si="5"/>
        <v>25888.799999999999</v>
      </c>
      <c r="F46" s="163">
        <f t="shared" si="8"/>
        <v>213840.64358974318</v>
      </c>
      <c r="G46" s="165">
        <f t="shared" si="9"/>
        <v>52019.94850901053</v>
      </c>
      <c r="H46" s="147">
        <f t="shared" si="10"/>
        <v>52019.94850901053</v>
      </c>
      <c r="I46" s="160">
        <f t="shared" si="6"/>
        <v>0</v>
      </c>
      <c r="J46" s="160"/>
      <c r="K46" s="335"/>
      <c r="L46" s="162">
        <f t="shared" si="11"/>
        <v>0</v>
      </c>
      <c r="M46" s="335"/>
      <c r="N46" s="162">
        <f t="shared" si="12"/>
        <v>0</v>
      </c>
      <c r="O46" s="162">
        <f t="shared" si="13"/>
        <v>0</v>
      </c>
      <c r="P46" s="4"/>
    </row>
    <row r="47" spans="2:16">
      <c r="B47" s="9" t="str">
        <f t="shared" si="7"/>
        <v/>
      </c>
      <c r="C47" s="157">
        <f>IF(D11="","-",+C46+1)</f>
        <v>2043</v>
      </c>
      <c r="D47" s="163">
        <f>IF(F46+SUM(E$17:E46)=D$10,F46,D$10-SUM(E$17:E46))</f>
        <v>213840.64358974318</v>
      </c>
      <c r="E47" s="164">
        <f t="shared" si="5"/>
        <v>25888.799999999999</v>
      </c>
      <c r="F47" s="163">
        <f t="shared" si="8"/>
        <v>187951.84358974319</v>
      </c>
      <c r="G47" s="165">
        <f t="shared" si="9"/>
        <v>49036.929581431352</v>
      </c>
      <c r="H47" s="147">
        <f t="shared" si="10"/>
        <v>49036.929581431352</v>
      </c>
      <c r="I47" s="160">
        <f t="shared" si="6"/>
        <v>0</v>
      </c>
      <c r="J47" s="160"/>
      <c r="K47" s="335"/>
      <c r="L47" s="162">
        <f t="shared" si="11"/>
        <v>0</v>
      </c>
      <c r="M47" s="335"/>
      <c r="N47" s="162">
        <f t="shared" si="12"/>
        <v>0</v>
      </c>
      <c r="O47" s="162">
        <f t="shared" si="13"/>
        <v>0</v>
      </c>
      <c r="P47" s="4"/>
    </row>
    <row r="48" spans="2:16">
      <c r="B48" s="9" t="str">
        <f t="shared" si="7"/>
        <v/>
      </c>
      <c r="C48" s="157">
        <f>IF(D11="","-",+C47+1)</f>
        <v>2044</v>
      </c>
      <c r="D48" s="163">
        <f>IF(F47+SUM(E$17:E47)=D$10,F47,D$10-SUM(E$17:E47))</f>
        <v>187951.84358974319</v>
      </c>
      <c r="E48" s="164">
        <f t="shared" si="5"/>
        <v>25888.799999999999</v>
      </c>
      <c r="F48" s="163">
        <f t="shared" si="8"/>
        <v>162063.0435897432</v>
      </c>
      <c r="G48" s="165">
        <f t="shared" si="9"/>
        <v>46053.910653852188</v>
      </c>
      <c r="H48" s="147">
        <f t="shared" si="10"/>
        <v>46053.910653852188</v>
      </c>
      <c r="I48" s="160">
        <f t="shared" si="6"/>
        <v>0</v>
      </c>
      <c r="J48" s="160"/>
      <c r="K48" s="335"/>
      <c r="L48" s="162">
        <f t="shared" si="11"/>
        <v>0</v>
      </c>
      <c r="M48" s="335"/>
      <c r="N48" s="162">
        <f t="shared" si="12"/>
        <v>0</v>
      </c>
      <c r="O48" s="162">
        <f t="shared" si="13"/>
        <v>0</v>
      </c>
      <c r="P48" s="4"/>
    </row>
    <row r="49" spans="2:16">
      <c r="B49" s="9" t="str">
        <f t="shared" si="7"/>
        <v/>
      </c>
      <c r="C49" s="157">
        <f>IF(D11="","-",+C48+1)</f>
        <v>2045</v>
      </c>
      <c r="D49" s="163">
        <f>IF(F48+SUM(E$17:E48)=D$10,F48,D$10-SUM(E$17:E48))</f>
        <v>162063.0435897432</v>
      </c>
      <c r="E49" s="164">
        <f t="shared" si="5"/>
        <v>25888.799999999999</v>
      </c>
      <c r="F49" s="163">
        <f t="shared" si="8"/>
        <v>136174.24358974322</v>
      </c>
      <c r="G49" s="165">
        <f t="shared" si="9"/>
        <v>43070.89172627301</v>
      </c>
      <c r="H49" s="147">
        <f t="shared" si="10"/>
        <v>43070.89172627301</v>
      </c>
      <c r="I49" s="160">
        <f t="shared" si="6"/>
        <v>0</v>
      </c>
      <c r="J49" s="160"/>
      <c r="K49" s="335"/>
      <c r="L49" s="162">
        <f t="shared" si="11"/>
        <v>0</v>
      </c>
      <c r="M49" s="335"/>
      <c r="N49" s="162">
        <f t="shared" si="12"/>
        <v>0</v>
      </c>
      <c r="O49" s="162">
        <f t="shared" si="13"/>
        <v>0</v>
      </c>
      <c r="P49" s="4"/>
    </row>
    <row r="50" spans="2:16">
      <c r="B50" s="9" t="str">
        <f t="shared" si="7"/>
        <v/>
      </c>
      <c r="C50" s="157">
        <f>IF(D11="","-",+C49+1)</f>
        <v>2046</v>
      </c>
      <c r="D50" s="163">
        <f>IF(F49+SUM(E$17:E49)=D$10,F49,D$10-SUM(E$17:E49))</f>
        <v>136174.24358974322</v>
      </c>
      <c r="E50" s="164">
        <f t="shared" si="5"/>
        <v>25888.799999999999</v>
      </c>
      <c r="F50" s="163">
        <f t="shared" si="8"/>
        <v>110285.44358974321</v>
      </c>
      <c r="G50" s="165">
        <f t="shared" si="9"/>
        <v>40087.872798693839</v>
      </c>
      <c r="H50" s="147">
        <f t="shared" si="10"/>
        <v>40087.872798693839</v>
      </c>
      <c r="I50" s="160">
        <f t="shared" si="6"/>
        <v>0</v>
      </c>
      <c r="J50" s="160"/>
      <c r="K50" s="335"/>
      <c r="L50" s="162">
        <f t="shared" si="11"/>
        <v>0</v>
      </c>
      <c r="M50" s="335"/>
      <c r="N50" s="162">
        <f t="shared" si="12"/>
        <v>0</v>
      </c>
      <c r="O50" s="162">
        <f t="shared" si="13"/>
        <v>0</v>
      </c>
      <c r="P50" s="4"/>
    </row>
    <row r="51" spans="2:16">
      <c r="B51" s="9" t="str">
        <f t="shared" si="7"/>
        <v/>
      </c>
      <c r="C51" s="157">
        <f>IF(D11="","-",+C50+1)</f>
        <v>2047</v>
      </c>
      <c r="D51" s="163">
        <f>IF(F50+SUM(E$17:E50)=D$10,F50,D$10-SUM(E$17:E50))</f>
        <v>110285.44358974321</v>
      </c>
      <c r="E51" s="164">
        <f t="shared" si="5"/>
        <v>25888.799999999999</v>
      </c>
      <c r="F51" s="163">
        <f t="shared" si="8"/>
        <v>84396.643589743209</v>
      </c>
      <c r="G51" s="165">
        <f t="shared" si="9"/>
        <v>37104.853871114668</v>
      </c>
      <c r="H51" s="147">
        <f t="shared" si="10"/>
        <v>37104.853871114668</v>
      </c>
      <c r="I51" s="160">
        <f t="shared" si="6"/>
        <v>0</v>
      </c>
      <c r="J51" s="160"/>
      <c r="K51" s="335"/>
      <c r="L51" s="162">
        <f t="shared" si="11"/>
        <v>0</v>
      </c>
      <c r="M51" s="335"/>
      <c r="N51" s="162">
        <f t="shared" si="12"/>
        <v>0</v>
      </c>
      <c r="O51" s="162">
        <f t="shared" si="13"/>
        <v>0</v>
      </c>
      <c r="P51" s="4"/>
    </row>
    <row r="52" spans="2:16">
      <c r="B52" s="9" t="str">
        <f t="shared" si="7"/>
        <v/>
      </c>
      <c r="C52" s="157">
        <f>IF(D11="","-",+C51+1)</f>
        <v>2048</v>
      </c>
      <c r="D52" s="163">
        <f>IF(F51+SUM(E$17:E51)=D$10,F51,D$10-SUM(E$17:E51))</f>
        <v>84396.643589743209</v>
      </c>
      <c r="E52" s="164">
        <f t="shared" si="5"/>
        <v>25888.799999999999</v>
      </c>
      <c r="F52" s="163">
        <f t="shared" si="8"/>
        <v>58507.843589743206</v>
      </c>
      <c r="G52" s="165">
        <f t="shared" si="9"/>
        <v>34121.83494353549</v>
      </c>
      <c r="H52" s="147">
        <f t="shared" si="10"/>
        <v>34121.83494353549</v>
      </c>
      <c r="I52" s="160">
        <f t="shared" si="6"/>
        <v>0</v>
      </c>
      <c r="J52" s="160"/>
      <c r="K52" s="335"/>
      <c r="L52" s="162">
        <f t="shared" si="11"/>
        <v>0</v>
      </c>
      <c r="M52" s="335"/>
      <c r="N52" s="162">
        <f t="shared" si="12"/>
        <v>0</v>
      </c>
      <c r="O52" s="162">
        <f t="shared" si="13"/>
        <v>0</v>
      </c>
      <c r="P52" s="4"/>
    </row>
    <row r="53" spans="2:16">
      <c r="B53" s="9" t="str">
        <f t="shared" si="7"/>
        <v/>
      </c>
      <c r="C53" s="157">
        <f>IF(D11="","-",+C52+1)</f>
        <v>2049</v>
      </c>
      <c r="D53" s="163">
        <f>IF(F52+SUM(E$17:E52)=D$10,F52,D$10-SUM(E$17:E52))</f>
        <v>58507.843589743206</v>
      </c>
      <c r="E53" s="164">
        <f t="shared" si="5"/>
        <v>25888.799999999999</v>
      </c>
      <c r="F53" s="163">
        <f t="shared" si="8"/>
        <v>32619.043589743207</v>
      </c>
      <c r="G53" s="165">
        <f t="shared" si="9"/>
        <v>31138.816015956319</v>
      </c>
      <c r="H53" s="147">
        <f t="shared" si="10"/>
        <v>31138.816015956319</v>
      </c>
      <c r="I53" s="160">
        <f t="shared" si="6"/>
        <v>0</v>
      </c>
      <c r="J53" s="160"/>
      <c r="K53" s="335"/>
      <c r="L53" s="162">
        <f t="shared" si="11"/>
        <v>0</v>
      </c>
      <c r="M53" s="335"/>
      <c r="N53" s="162">
        <f t="shared" si="12"/>
        <v>0</v>
      </c>
      <c r="O53" s="162">
        <f t="shared" si="13"/>
        <v>0</v>
      </c>
      <c r="P53" s="4"/>
    </row>
    <row r="54" spans="2:16">
      <c r="B54" s="9" t="str">
        <f t="shared" si="7"/>
        <v/>
      </c>
      <c r="C54" s="157">
        <f>IF(D11="","-",+C53+1)</f>
        <v>2050</v>
      </c>
      <c r="D54" s="163">
        <f>IF(F53+SUM(E$17:E53)=D$10,F53,D$10-SUM(E$17:E53))</f>
        <v>32619.043589743207</v>
      </c>
      <c r="E54" s="164">
        <f t="shared" si="5"/>
        <v>25888.799999999999</v>
      </c>
      <c r="F54" s="163">
        <f t="shared" si="8"/>
        <v>6730.2435897432078</v>
      </c>
      <c r="G54" s="165">
        <f t="shared" si="9"/>
        <v>28155.797088377145</v>
      </c>
      <c r="H54" s="147">
        <f t="shared" si="10"/>
        <v>28155.797088377145</v>
      </c>
      <c r="I54" s="160">
        <f t="shared" si="6"/>
        <v>0</v>
      </c>
      <c r="J54" s="160"/>
      <c r="K54" s="335"/>
      <c r="L54" s="162">
        <f t="shared" si="11"/>
        <v>0</v>
      </c>
      <c r="M54" s="335"/>
      <c r="N54" s="162">
        <f t="shared" si="12"/>
        <v>0</v>
      </c>
      <c r="O54" s="162">
        <f t="shared" si="13"/>
        <v>0</v>
      </c>
      <c r="P54" s="4"/>
    </row>
    <row r="55" spans="2:16">
      <c r="B55" s="9" t="str">
        <f t="shared" si="7"/>
        <v/>
      </c>
      <c r="C55" s="157">
        <f>IF(D11="","-",+C54+1)</f>
        <v>2051</v>
      </c>
      <c r="D55" s="163">
        <f>IF(F54+SUM(E$17:E54)=D$10,F54,D$10-SUM(E$17:E54))</f>
        <v>6730.2435897432078</v>
      </c>
      <c r="E55" s="164">
        <f t="shared" si="5"/>
        <v>6730.2435897432078</v>
      </c>
      <c r="F55" s="163">
        <f t="shared" si="8"/>
        <v>0</v>
      </c>
      <c r="G55" s="165">
        <f t="shared" si="9"/>
        <v>7117.9874020369871</v>
      </c>
      <c r="H55" s="147">
        <f t="shared" si="10"/>
        <v>7117.9874020369871</v>
      </c>
      <c r="I55" s="160">
        <f t="shared" si="6"/>
        <v>0</v>
      </c>
      <c r="J55" s="160"/>
      <c r="K55" s="335"/>
      <c r="L55" s="162">
        <f t="shared" si="11"/>
        <v>0</v>
      </c>
      <c r="M55" s="335"/>
      <c r="N55" s="162">
        <f t="shared" si="12"/>
        <v>0</v>
      </c>
      <c r="O55" s="162">
        <f t="shared" si="13"/>
        <v>0</v>
      </c>
      <c r="P55" s="4"/>
    </row>
    <row r="56" spans="2:16">
      <c r="B56" s="9" t="str">
        <f t="shared" si="7"/>
        <v/>
      </c>
      <c r="C56" s="157">
        <f>IF(D11="","-",+C55+1)</f>
        <v>2052</v>
      </c>
      <c r="D56" s="163">
        <f>IF(F55+SUM(E$17:E55)=D$10,F55,D$10-SUM(E$17:E55))</f>
        <v>0</v>
      </c>
      <c r="E56" s="164">
        <f t="shared" si="5"/>
        <v>0</v>
      </c>
      <c r="F56" s="163">
        <f t="shared" si="8"/>
        <v>0</v>
      </c>
      <c r="G56" s="165">
        <f t="shared" si="9"/>
        <v>0</v>
      </c>
      <c r="H56" s="147">
        <f t="shared" si="10"/>
        <v>0</v>
      </c>
      <c r="I56" s="160">
        <f t="shared" si="6"/>
        <v>0</v>
      </c>
      <c r="J56" s="160"/>
      <c r="K56" s="335"/>
      <c r="L56" s="162">
        <f t="shared" si="11"/>
        <v>0</v>
      </c>
      <c r="M56" s="335"/>
      <c r="N56" s="162">
        <f t="shared" si="12"/>
        <v>0</v>
      </c>
      <c r="O56" s="162">
        <f t="shared" si="13"/>
        <v>0</v>
      </c>
      <c r="P56" s="4"/>
    </row>
    <row r="57" spans="2:16">
      <c r="B57" s="9" t="str">
        <f t="shared" si="7"/>
        <v/>
      </c>
      <c r="C57" s="157">
        <f>IF(D11="","-",+C56+1)</f>
        <v>2053</v>
      </c>
      <c r="D57" s="163">
        <f>IF(F56+SUM(E$17:E56)=D$10,F56,D$10-SUM(E$17:E56))</f>
        <v>0</v>
      </c>
      <c r="E57" s="164">
        <f t="shared" si="5"/>
        <v>0</v>
      </c>
      <c r="F57" s="163">
        <f t="shared" si="8"/>
        <v>0</v>
      </c>
      <c r="G57" s="165">
        <f t="shared" si="9"/>
        <v>0</v>
      </c>
      <c r="H57" s="147">
        <f t="shared" si="10"/>
        <v>0</v>
      </c>
      <c r="I57" s="160">
        <f t="shared" si="6"/>
        <v>0</v>
      </c>
      <c r="J57" s="160"/>
      <c r="K57" s="335"/>
      <c r="L57" s="162">
        <f t="shared" si="11"/>
        <v>0</v>
      </c>
      <c r="M57" s="335"/>
      <c r="N57" s="162">
        <f t="shared" si="12"/>
        <v>0</v>
      </c>
      <c r="O57" s="162">
        <f t="shared" si="13"/>
        <v>0</v>
      </c>
      <c r="P57" s="4"/>
    </row>
    <row r="58" spans="2:16">
      <c r="B58" s="9" t="str">
        <f t="shared" si="7"/>
        <v/>
      </c>
      <c r="C58" s="157">
        <f>IF(D11="","-",+C57+1)</f>
        <v>2054</v>
      </c>
      <c r="D58" s="163">
        <f>IF(F57+SUM(E$17:E57)=D$10,F57,D$10-SUM(E$17:E57))</f>
        <v>0</v>
      </c>
      <c r="E58" s="164">
        <f t="shared" si="5"/>
        <v>0</v>
      </c>
      <c r="F58" s="163">
        <f t="shared" si="8"/>
        <v>0</v>
      </c>
      <c r="G58" s="165">
        <f t="shared" si="9"/>
        <v>0</v>
      </c>
      <c r="H58" s="147">
        <f t="shared" si="10"/>
        <v>0</v>
      </c>
      <c r="I58" s="160">
        <f t="shared" si="6"/>
        <v>0</v>
      </c>
      <c r="J58" s="160"/>
      <c r="K58" s="335"/>
      <c r="L58" s="162">
        <f t="shared" si="11"/>
        <v>0</v>
      </c>
      <c r="M58" s="335"/>
      <c r="N58" s="162">
        <f t="shared" si="12"/>
        <v>0</v>
      </c>
      <c r="O58" s="162">
        <f t="shared" si="13"/>
        <v>0</v>
      </c>
      <c r="P58" s="4"/>
    </row>
    <row r="59" spans="2:16">
      <c r="B59" s="9" t="str">
        <f t="shared" si="7"/>
        <v/>
      </c>
      <c r="C59" s="157">
        <f>IF(D11="","-",+C58+1)</f>
        <v>2055</v>
      </c>
      <c r="D59" s="163">
        <f>IF(F58+SUM(E$17:E58)=D$10,F58,D$10-SUM(E$17:E58))</f>
        <v>0</v>
      </c>
      <c r="E59" s="164">
        <f t="shared" si="5"/>
        <v>0</v>
      </c>
      <c r="F59" s="163">
        <f t="shared" si="8"/>
        <v>0</v>
      </c>
      <c r="G59" s="165">
        <f t="shared" si="9"/>
        <v>0</v>
      </c>
      <c r="H59" s="147">
        <f t="shared" si="10"/>
        <v>0</v>
      </c>
      <c r="I59" s="160">
        <f t="shared" si="6"/>
        <v>0</v>
      </c>
      <c r="J59" s="160"/>
      <c r="K59" s="335"/>
      <c r="L59" s="162">
        <f t="shared" si="11"/>
        <v>0</v>
      </c>
      <c r="M59" s="335"/>
      <c r="N59" s="162">
        <f t="shared" si="12"/>
        <v>0</v>
      </c>
      <c r="O59" s="162">
        <f t="shared" si="13"/>
        <v>0</v>
      </c>
      <c r="P59" s="4"/>
    </row>
    <row r="60" spans="2:16">
      <c r="B60" s="9" t="str">
        <f t="shared" si="7"/>
        <v/>
      </c>
      <c r="C60" s="157">
        <f>IF(D11="","-",+C59+1)</f>
        <v>2056</v>
      </c>
      <c r="D60" s="163">
        <f>IF(F59+SUM(E$17:E59)=D$10,F59,D$10-SUM(E$17:E59))</f>
        <v>0</v>
      </c>
      <c r="E60" s="164">
        <f t="shared" si="5"/>
        <v>0</v>
      </c>
      <c r="F60" s="163">
        <f t="shared" si="8"/>
        <v>0</v>
      </c>
      <c r="G60" s="165">
        <f t="shared" si="9"/>
        <v>0</v>
      </c>
      <c r="H60" s="147">
        <f t="shared" si="10"/>
        <v>0</v>
      </c>
      <c r="I60" s="160">
        <f t="shared" si="6"/>
        <v>0</v>
      </c>
      <c r="J60" s="160"/>
      <c r="K60" s="335"/>
      <c r="L60" s="162">
        <f t="shared" si="11"/>
        <v>0</v>
      </c>
      <c r="M60" s="335"/>
      <c r="N60" s="162">
        <f t="shared" si="12"/>
        <v>0</v>
      </c>
      <c r="O60" s="162">
        <f t="shared" si="13"/>
        <v>0</v>
      </c>
      <c r="P60" s="4"/>
    </row>
    <row r="61" spans="2:16">
      <c r="B61" s="9" t="str">
        <f t="shared" si="7"/>
        <v/>
      </c>
      <c r="C61" s="157">
        <f>IF(D11="","-",+C60+1)</f>
        <v>2057</v>
      </c>
      <c r="D61" s="163">
        <f>IF(F60+SUM(E$17:E60)=D$10,F60,D$10-SUM(E$17:E60))</f>
        <v>0</v>
      </c>
      <c r="E61" s="164">
        <f t="shared" si="5"/>
        <v>0</v>
      </c>
      <c r="F61" s="163">
        <f t="shared" si="8"/>
        <v>0</v>
      </c>
      <c r="G61" s="165">
        <f t="shared" si="9"/>
        <v>0</v>
      </c>
      <c r="H61" s="147">
        <f t="shared" si="10"/>
        <v>0</v>
      </c>
      <c r="I61" s="160">
        <f t="shared" si="6"/>
        <v>0</v>
      </c>
      <c r="J61" s="160"/>
      <c r="K61" s="335"/>
      <c r="L61" s="162">
        <f t="shared" si="11"/>
        <v>0</v>
      </c>
      <c r="M61" s="335"/>
      <c r="N61" s="162">
        <f t="shared" si="12"/>
        <v>0</v>
      </c>
      <c r="O61" s="162">
        <f t="shared" si="13"/>
        <v>0</v>
      </c>
      <c r="P61" s="4"/>
    </row>
    <row r="62" spans="2:16">
      <c r="B62" s="9" t="str">
        <f t="shared" si="7"/>
        <v/>
      </c>
      <c r="C62" s="157">
        <f>IF(D11="","-",+C61+1)</f>
        <v>2058</v>
      </c>
      <c r="D62" s="163">
        <f>IF(F61+SUM(E$17:E61)=D$10,F61,D$10-SUM(E$17:E61))</f>
        <v>0</v>
      </c>
      <c r="E62" s="164">
        <f t="shared" si="5"/>
        <v>0</v>
      </c>
      <c r="F62" s="163">
        <f t="shared" si="8"/>
        <v>0</v>
      </c>
      <c r="G62" s="165">
        <f t="shared" si="9"/>
        <v>0</v>
      </c>
      <c r="H62" s="147">
        <f t="shared" si="10"/>
        <v>0</v>
      </c>
      <c r="I62" s="160">
        <f t="shared" si="6"/>
        <v>0</v>
      </c>
      <c r="J62" s="160"/>
      <c r="K62" s="335"/>
      <c r="L62" s="162">
        <f t="shared" si="11"/>
        <v>0</v>
      </c>
      <c r="M62" s="335"/>
      <c r="N62" s="162">
        <f t="shared" si="12"/>
        <v>0</v>
      </c>
      <c r="O62" s="162">
        <f t="shared" si="13"/>
        <v>0</v>
      </c>
      <c r="P62" s="4"/>
    </row>
    <row r="63" spans="2:16">
      <c r="B63" s="9" t="str">
        <f t="shared" si="7"/>
        <v/>
      </c>
      <c r="C63" s="157">
        <f>IF(D11="","-",+C62+1)</f>
        <v>2059</v>
      </c>
      <c r="D63" s="163">
        <f>IF(F62+SUM(E$17:E62)=D$10,F62,D$10-SUM(E$17:E62))</f>
        <v>0</v>
      </c>
      <c r="E63" s="164">
        <f t="shared" si="5"/>
        <v>0</v>
      </c>
      <c r="F63" s="163">
        <f t="shared" si="8"/>
        <v>0</v>
      </c>
      <c r="G63" s="165">
        <f t="shared" si="9"/>
        <v>0</v>
      </c>
      <c r="H63" s="147">
        <f t="shared" si="10"/>
        <v>0</v>
      </c>
      <c r="I63" s="160">
        <f t="shared" si="6"/>
        <v>0</v>
      </c>
      <c r="J63" s="160"/>
      <c r="K63" s="335"/>
      <c r="L63" s="162">
        <f t="shared" si="11"/>
        <v>0</v>
      </c>
      <c r="M63" s="335"/>
      <c r="N63" s="162">
        <f t="shared" si="12"/>
        <v>0</v>
      </c>
      <c r="O63" s="162">
        <f t="shared" si="13"/>
        <v>0</v>
      </c>
      <c r="P63" s="4"/>
    </row>
    <row r="64" spans="2:16">
      <c r="B64" s="9" t="str">
        <f t="shared" si="7"/>
        <v/>
      </c>
      <c r="C64" s="157">
        <f>IF(D11="","-",+C63+1)</f>
        <v>2060</v>
      </c>
      <c r="D64" s="163">
        <f>IF(F63+SUM(E$17:E63)=D$10,F63,D$10-SUM(E$17:E63))</f>
        <v>0</v>
      </c>
      <c r="E64" s="164">
        <f t="shared" si="5"/>
        <v>0</v>
      </c>
      <c r="F64" s="163">
        <f t="shared" si="8"/>
        <v>0</v>
      </c>
      <c r="G64" s="165">
        <f t="shared" si="9"/>
        <v>0</v>
      </c>
      <c r="H64" s="147">
        <f t="shared" si="10"/>
        <v>0</v>
      </c>
      <c r="I64" s="160">
        <f t="shared" si="6"/>
        <v>0</v>
      </c>
      <c r="J64" s="160"/>
      <c r="K64" s="335"/>
      <c r="L64" s="162">
        <f t="shared" si="11"/>
        <v>0</v>
      </c>
      <c r="M64" s="335"/>
      <c r="N64" s="162">
        <f t="shared" si="12"/>
        <v>0</v>
      </c>
      <c r="O64" s="162">
        <f t="shared" si="13"/>
        <v>0</v>
      </c>
      <c r="P64" s="4"/>
    </row>
    <row r="65" spans="2:16">
      <c r="B65" s="9" t="str">
        <f t="shared" si="7"/>
        <v/>
      </c>
      <c r="C65" s="157">
        <f>IF(D11="","-",+C64+1)</f>
        <v>2061</v>
      </c>
      <c r="D65" s="163">
        <f>IF(F64+SUM(E$17:E64)=D$10,F64,D$10-SUM(E$17:E64))</f>
        <v>0</v>
      </c>
      <c r="E65" s="164">
        <f t="shared" si="5"/>
        <v>0</v>
      </c>
      <c r="F65" s="163">
        <f t="shared" si="8"/>
        <v>0</v>
      </c>
      <c r="G65" s="165">
        <f t="shared" si="9"/>
        <v>0</v>
      </c>
      <c r="H65" s="147">
        <f t="shared" si="10"/>
        <v>0</v>
      </c>
      <c r="I65" s="160">
        <f t="shared" si="6"/>
        <v>0</v>
      </c>
      <c r="J65" s="160"/>
      <c r="K65" s="335"/>
      <c r="L65" s="162">
        <f t="shared" si="11"/>
        <v>0</v>
      </c>
      <c r="M65" s="335"/>
      <c r="N65" s="162">
        <f t="shared" si="12"/>
        <v>0</v>
      </c>
      <c r="O65" s="162">
        <f t="shared" si="13"/>
        <v>0</v>
      </c>
      <c r="P65" s="4"/>
    </row>
    <row r="66" spans="2:16">
      <c r="B66" s="9" t="str">
        <f t="shared" si="7"/>
        <v/>
      </c>
      <c r="C66" s="157">
        <f>IF(D11="","-",+C65+1)</f>
        <v>2062</v>
      </c>
      <c r="D66" s="163">
        <f>IF(F65+SUM(E$17:E65)=D$10,F65,D$10-SUM(E$17:E65))</f>
        <v>0</v>
      </c>
      <c r="E66" s="164">
        <f t="shared" si="5"/>
        <v>0</v>
      </c>
      <c r="F66" s="163">
        <f t="shared" si="8"/>
        <v>0</v>
      </c>
      <c r="G66" s="165">
        <f t="shared" si="9"/>
        <v>0</v>
      </c>
      <c r="H66" s="147">
        <f t="shared" si="10"/>
        <v>0</v>
      </c>
      <c r="I66" s="160">
        <f t="shared" si="6"/>
        <v>0</v>
      </c>
      <c r="J66" s="160"/>
      <c r="K66" s="335"/>
      <c r="L66" s="162">
        <f t="shared" si="11"/>
        <v>0</v>
      </c>
      <c r="M66" s="335"/>
      <c r="N66" s="162">
        <f t="shared" si="12"/>
        <v>0</v>
      </c>
      <c r="O66" s="162">
        <f t="shared" si="13"/>
        <v>0</v>
      </c>
      <c r="P66" s="4"/>
    </row>
    <row r="67" spans="2:16">
      <c r="B67" s="9" t="str">
        <f t="shared" si="7"/>
        <v/>
      </c>
      <c r="C67" s="157">
        <f>IF(D11="","-",+C66+1)</f>
        <v>2063</v>
      </c>
      <c r="D67" s="163">
        <f>IF(F66+SUM(E$17:E66)=D$10,F66,D$10-SUM(E$17:E66))</f>
        <v>0</v>
      </c>
      <c r="E67" s="164">
        <f t="shared" si="5"/>
        <v>0</v>
      </c>
      <c r="F67" s="163">
        <f t="shared" si="8"/>
        <v>0</v>
      </c>
      <c r="G67" s="165">
        <f t="shared" si="9"/>
        <v>0</v>
      </c>
      <c r="H67" s="147">
        <f t="shared" si="10"/>
        <v>0</v>
      </c>
      <c r="I67" s="160">
        <f t="shared" si="6"/>
        <v>0</v>
      </c>
      <c r="J67" s="160"/>
      <c r="K67" s="335"/>
      <c r="L67" s="162">
        <f t="shared" si="11"/>
        <v>0</v>
      </c>
      <c r="M67" s="335"/>
      <c r="N67" s="162">
        <f t="shared" si="12"/>
        <v>0</v>
      </c>
      <c r="O67" s="162">
        <f t="shared" si="13"/>
        <v>0</v>
      </c>
      <c r="P67" s="4"/>
    </row>
    <row r="68" spans="2:16">
      <c r="B68" s="9" t="str">
        <f t="shared" si="7"/>
        <v/>
      </c>
      <c r="C68" s="157">
        <f>IF(D11="","-",+C67+1)</f>
        <v>2064</v>
      </c>
      <c r="D68" s="163">
        <f>IF(F67+SUM(E$17:E67)=D$10,F67,D$10-SUM(E$17:E67))</f>
        <v>0</v>
      </c>
      <c r="E68" s="164">
        <f t="shared" si="5"/>
        <v>0</v>
      </c>
      <c r="F68" s="163">
        <f t="shared" si="8"/>
        <v>0</v>
      </c>
      <c r="G68" s="165">
        <f t="shared" si="9"/>
        <v>0</v>
      </c>
      <c r="H68" s="147">
        <f t="shared" si="10"/>
        <v>0</v>
      </c>
      <c r="I68" s="160">
        <f t="shared" si="6"/>
        <v>0</v>
      </c>
      <c r="J68" s="160"/>
      <c r="K68" s="335"/>
      <c r="L68" s="162">
        <f t="shared" si="11"/>
        <v>0</v>
      </c>
      <c r="M68" s="335"/>
      <c r="N68" s="162">
        <f t="shared" si="12"/>
        <v>0</v>
      </c>
      <c r="O68" s="162">
        <f t="shared" si="13"/>
        <v>0</v>
      </c>
      <c r="P68" s="4"/>
    </row>
    <row r="69" spans="2:16">
      <c r="B69" s="9" t="str">
        <f t="shared" si="7"/>
        <v/>
      </c>
      <c r="C69" s="157">
        <f>IF(D11="","-",+C68+1)</f>
        <v>2065</v>
      </c>
      <c r="D69" s="163">
        <f>IF(F68+SUM(E$17:E68)=D$10,F68,D$10-SUM(E$17:E68))</f>
        <v>0</v>
      </c>
      <c r="E69" s="164">
        <f t="shared" si="5"/>
        <v>0</v>
      </c>
      <c r="F69" s="163">
        <f t="shared" si="8"/>
        <v>0</v>
      </c>
      <c r="G69" s="165">
        <f t="shared" si="9"/>
        <v>0</v>
      </c>
      <c r="H69" s="147">
        <f t="shared" si="10"/>
        <v>0</v>
      </c>
      <c r="I69" s="160">
        <f t="shared" si="6"/>
        <v>0</v>
      </c>
      <c r="J69" s="160"/>
      <c r="K69" s="335"/>
      <c r="L69" s="162">
        <f t="shared" si="11"/>
        <v>0</v>
      </c>
      <c r="M69" s="335"/>
      <c r="N69" s="162">
        <f t="shared" si="12"/>
        <v>0</v>
      </c>
      <c r="O69" s="162">
        <f t="shared" si="13"/>
        <v>0</v>
      </c>
      <c r="P69" s="4"/>
    </row>
    <row r="70" spans="2:16">
      <c r="B70" s="9" t="str">
        <f t="shared" si="7"/>
        <v/>
      </c>
      <c r="C70" s="157">
        <f>IF(D11="","-",+C69+1)</f>
        <v>2066</v>
      </c>
      <c r="D70" s="163">
        <f>IF(F69+SUM(E$17:E69)=D$10,F69,D$10-SUM(E$17:E69))</f>
        <v>0</v>
      </c>
      <c r="E70" s="164">
        <f t="shared" si="5"/>
        <v>0</v>
      </c>
      <c r="F70" s="163">
        <f t="shared" si="8"/>
        <v>0</v>
      </c>
      <c r="G70" s="165">
        <f t="shared" si="9"/>
        <v>0</v>
      </c>
      <c r="H70" s="147">
        <f t="shared" si="10"/>
        <v>0</v>
      </c>
      <c r="I70" s="160">
        <f t="shared" si="6"/>
        <v>0</v>
      </c>
      <c r="J70" s="160"/>
      <c r="K70" s="335"/>
      <c r="L70" s="162">
        <f t="shared" si="11"/>
        <v>0</v>
      </c>
      <c r="M70" s="335"/>
      <c r="N70" s="162">
        <f t="shared" si="12"/>
        <v>0</v>
      </c>
      <c r="O70" s="162">
        <f t="shared" si="13"/>
        <v>0</v>
      </c>
      <c r="P70" s="4"/>
    </row>
    <row r="71" spans="2:16">
      <c r="B71" s="9" t="str">
        <f t="shared" si="7"/>
        <v/>
      </c>
      <c r="C71" s="157">
        <f>IF(D11="","-",+C70+1)</f>
        <v>2067</v>
      </c>
      <c r="D71" s="163">
        <f>IF(F70+SUM(E$17:E70)=D$10,F70,D$10-SUM(E$17:E70))</f>
        <v>0</v>
      </c>
      <c r="E71" s="164">
        <f t="shared" si="5"/>
        <v>0</v>
      </c>
      <c r="F71" s="163">
        <f t="shared" si="8"/>
        <v>0</v>
      </c>
      <c r="G71" s="165">
        <f t="shared" si="9"/>
        <v>0</v>
      </c>
      <c r="H71" s="147">
        <f t="shared" si="10"/>
        <v>0</v>
      </c>
      <c r="I71" s="160">
        <f t="shared" si="6"/>
        <v>0</v>
      </c>
      <c r="J71" s="160"/>
      <c r="K71" s="335"/>
      <c r="L71" s="162">
        <f t="shared" si="11"/>
        <v>0</v>
      </c>
      <c r="M71" s="335"/>
      <c r="N71" s="162">
        <f t="shared" si="12"/>
        <v>0</v>
      </c>
      <c r="O71" s="162">
        <f t="shared" si="13"/>
        <v>0</v>
      </c>
      <c r="P71" s="4"/>
    </row>
    <row r="72" spans="2:16" ht="13.5" thickBot="1">
      <c r="B72" s="9" t="str">
        <f t="shared" si="7"/>
        <v/>
      </c>
      <c r="C72" s="168">
        <f>IF(D11="","-",+C71+1)</f>
        <v>2068</v>
      </c>
      <c r="D72" s="169">
        <f>IF(F71+SUM(E$17:E71)=D$10,F71,D$10-SUM(E$17:E71))</f>
        <v>0</v>
      </c>
      <c r="E72" s="170">
        <f>IF(+$I$14&lt;F71,$I$14,D72)</f>
        <v>0</v>
      </c>
      <c r="F72" s="169">
        <f>+D72-E72</f>
        <v>0</v>
      </c>
      <c r="G72" s="377">
        <f>(D72+F72)/2*I$12+E72</f>
        <v>0</v>
      </c>
      <c r="H72" s="130">
        <f>+(D72+F72)/2*I$13+E72</f>
        <v>0</v>
      </c>
      <c r="I72" s="172">
        <f>H72-G72</f>
        <v>0</v>
      </c>
      <c r="J72" s="160"/>
      <c r="K72" s="336"/>
      <c r="L72" s="173">
        <f t="shared" si="11"/>
        <v>0</v>
      </c>
      <c r="M72" s="336"/>
      <c r="N72" s="173">
        <f t="shared" si="12"/>
        <v>0</v>
      </c>
      <c r="O72" s="173">
        <f t="shared" si="13"/>
        <v>0</v>
      </c>
      <c r="P72" s="4"/>
    </row>
    <row r="73" spans="2:16">
      <c r="C73" s="158" t="s">
        <v>72</v>
      </c>
      <c r="D73" s="115"/>
      <c r="E73" s="115">
        <f>SUM(E17:E72)</f>
        <v>1035552.0000000003</v>
      </c>
      <c r="F73" s="115"/>
      <c r="G73" s="115">
        <f>SUM(G17:G72)</f>
        <v>5191244.4215067066</v>
      </c>
      <c r="H73" s="115">
        <f>SUM(H17:H72)</f>
        <v>5191244.4215067066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14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132155</v>
      </c>
      <c r="N87" s="202">
        <f>IF(J92&lt;D11,0,VLOOKUP(J92,C17:O72,11))</f>
        <v>132155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142433.42657860837</v>
      </c>
      <c r="N88" s="204">
        <f>IF(J92&lt;D11,0,VLOOKUP(J92,C99:P154,7))</f>
        <v>142433.42657860837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Ashdown West - Craig Junction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10278.426578608371</v>
      </c>
      <c r="N89" s="207">
        <f>+N88-N87</f>
        <v>10278.426578608371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TP2009092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f>+D10</f>
        <v>1035552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460" t="s">
        <v>262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+D12</f>
        <v>2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22512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 t="str">
        <f>IF(D93= "","-",D93)</f>
        <v>2013</v>
      </c>
      <c r="D99" s="436">
        <v>0</v>
      </c>
      <c r="E99" s="437">
        <v>16595</v>
      </c>
      <c r="F99" s="438">
        <v>1018741</v>
      </c>
      <c r="G99" s="448">
        <v>509371</v>
      </c>
      <c r="H99" s="449">
        <v>89910</v>
      </c>
      <c r="I99" s="450">
        <v>89910</v>
      </c>
      <c r="J99" s="162">
        <v>0</v>
      </c>
      <c r="K99" s="162"/>
      <c r="L99" s="338">
        <f>H99</f>
        <v>89910</v>
      </c>
      <c r="M99" s="175">
        <f>IF(L99&lt;&gt;0,+H99-L99,0)</f>
        <v>0</v>
      </c>
      <c r="N99" s="338">
        <f>I99</f>
        <v>89910</v>
      </c>
      <c r="O99" s="160">
        <f>IF(N99&lt;&gt;0,+I99-N99,0)</f>
        <v>0</v>
      </c>
      <c r="P99" s="162">
        <f>+O99-M99</f>
        <v>0</v>
      </c>
    </row>
    <row r="100" spans="1:16">
      <c r="B100" s="9" t="str">
        <f>IF(D100=F99,"","IU")</f>
        <v>IU</v>
      </c>
      <c r="C100" s="157">
        <f>IF(D93="","-",+C99+1)</f>
        <v>2014</v>
      </c>
      <c r="D100" s="436">
        <v>1018957</v>
      </c>
      <c r="E100" s="437">
        <v>19914</v>
      </c>
      <c r="F100" s="438">
        <v>999043</v>
      </c>
      <c r="G100" s="438">
        <v>1009000</v>
      </c>
      <c r="H100" s="437">
        <v>161775</v>
      </c>
      <c r="I100" s="439">
        <v>161775</v>
      </c>
      <c r="J100" s="162">
        <f>+I100-H100</f>
        <v>0</v>
      </c>
      <c r="K100" s="162"/>
      <c r="L100" s="338">
        <f>H100</f>
        <v>161775</v>
      </c>
      <c r="M100" s="175">
        <f>IF(L100&lt;&gt;0,+H100-L100,0)</f>
        <v>0</v>
      </c>
      <c r="N100" s="338">
        <f>I100</f>
        <v>161775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14">IF(D101=F100,"","IU")</f>
        <v/>
      </c>
      <c r="C101" s="157">
        <f>IF(D93="","-",+C100+1)</f>
        <v>2015</v>
      </c>
      <c r="D101" s="436">
        <v>999043</v>
      </c>
      <c r="E101" s="437">
        <v>19914</v>
      </c>
      <c r="F101" s="438">
        <v>979129</v>
      </c>
      <c r="G101" s="438">
        <v>989086</v>
      </c>
      <c r="H101" s="437">
        <v>154866.83205665913</v>
      </c>
      <c r="I101" s="439">
        <v>154866.83205665913</v>
      </c>
      <c r="J101" s="162">
        <f>+I101-H101</f>
        <v>0</v>
      </c>
      <c r="K101" s="162"/>
      <c r="L101" s="338">
        <f>H101</f>
        <v>154866.83205665913</v>
      </c>
      <c r="M101" s="175">
        <f>IF(L101&lt;&gt;0,+H101-L101,0)</f>
        <v>0</v>
      </c>
      <c r="N101" s="338">
        <f>I101</f>
        <v>154866.83205665913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14"/>
        <v/>
      </c>
      <c r="C102" s="157">
        <f>IF(D93="","-",+C101+1)</f>
        <v>2016</v>
      </c>
      <c r="D102" s="436">
        <v>979129</v>
      </c>
      <c r="E102" s="437">
        <v>22512</v>
      </c>
      <c r="F102" s="438">
        <v>956617</v>
      </c>
      <c r="G102" s="438">
        <v>967873</v>
      </c>
      <c r="H102" s="437">
        <v>147286.07261026395</v>
      </c>
      <c r="I102" s="439">
        <v>147286.07261026395</v>
      </c>
      <c r="J102" s="162">
        <v>0</v>
      </c>
      <c r="K102" s="162"/>
      <c r="L102" s="338">
        <f>H102</f>
        <v>147286.07261026395</v>
      </c>
      <c r="M102" s="175">
        <f>IF(L102&lt;&gt;0,+H102-L102,0)</f>
        <v>0</v>
      </c>
      <c r="N102" s="338">
        <f>I102</f>
        <v>147286.07261026395</v>
      </c>
      <c r="O102" s="160">
        <f>IF(N102&lt;&gt;0,+I102-N102,0)</f>
        <v>0</v>
      </c>
      <c r="P102" s="162">
        <f>+O102-M102</f>
        <v>0</v>
      </c>
    </row>
    <row r="103" spans="1:16">
      <c r="B103" s="9" t="str">
        <f t="shared" si="14"/>
        <v/>
      </c>
      <c r="C103" s="157">
        <f>IF(D93="","-",+C102+1)</f>
        <v>2017</v>
      </c>
      <c r="D103" s="158">
        <f>IF(F102+SUM(E$99:E102)=D$92,F102,D$92-SUM(E$99:E102))</f>
        <v>956617</v>
      </c>
      <c r="E103" s="164">
        <f t="shared" ref="E103:E154" si="15">IF(+J$96&lt;F102,J$96,D103)</f>
        <v>22512</v>
      </c>
      <c r="F103" s="163">
        <f t="shared" ref="F103:F154" si="16">+D103-E103</f>
        <v>934105</v>
      </c>
      <c r="G103" s="163">
        <f t="shared" ref="G103:G154" si="17">+(F103+D103)/2</f>
        <v>945361</v>
      </c>
      <c r="H103" s="167">
        <f t="shared" ref="H103:H154" si="18">+J$94*G103+E103</f>
        <v>142433.42657860837</v>
      </c>
      <c r="I103" s="317">
        <f t="shared" ref="I103:I154" si="19">+J$95*G103+E103</f>
        <v>142433.42657860837</v>
      </c>
      <c r="J103" s="162">
        <f t="shared" ref="J103:J154" si="20">+I103-H103</f>
        <v>0</v>
      </c>
      <c r="K103" s="162"/>
      <c r="L103" s="335"/>
      <c r="M103" s="162">
        <f t="shared" ref="M103:M130" si="21">IF(L103&lt;&gt;0,+H103-L103,0)</f>
        <v>0</v>
      </c>
      <c r="N103" s="335"/>
      <c r="O103" s="162">
        <f t="shared" ref="O103:O130" si="22">IF(N103&lt;&gt;0,+I103-N103,0)</f>
        <v>0</v>
      </c>
      <c r="P103" s="162">
        <f t="shared" ref="P103:P130" si="23">+O103-M103</f>
        <v>0</v>
      </c>
    </row>
    <row r="104" spans="1:16">
      <c r="B104" s="9" t="str">
        <f t="shared" si="14"/>
        <v/>
      </c>
      <c r="C104" s="157">
        <f>IF(D93="","-",+C103+1)</f>
        <v>2018</v>
      </c>
      <c r="D104" s="158">
        <f>IF(F103+SUM(E$99:E103)=D$92,F103,D$92-SUM(E$99:E103))</f>
        <v>934105</v>
      </c>
      <c r="E104" s="164">
        <f t="shared" si="15"/>
        <v>22512</v>
      </c>
      <c r="F104" s="163">
        <f t="shared" si="16"/>
        <v>911593</v>
      </c>
      <c r="G104" s="163">
        <f t="shared" si="17"/>
        <v>922849</v>
      </c>
      <c r="H104" s="167">
        <f t="shared" si="18"/>
        <v>139577.72261458021</v>
      </c>
      <c r="I104" s="317">
        <f t="shared" si="19"/>
        <v>139577.72261458021</v>
      </c>
      <c r="J104" s="162">
        <f t="shared" si="20"/>
        <v>0</v>
      </c>
      <c r="K104" s="162"/>
      <c r="L104" s="335"/>
      <c r="M104" s="162">
        <f t="shared" si="21"/>
        <v>0</v>
      </c>
      <c r="N104" s="335"/>
      <c r="O104" s="162">
        <f t="shared" si="22"/>
        <v>0</v>
      </c>
      <c r="P104" s="162">
        <f t="shared" si="23"/>
        <v>0</v>
      </c>
    </row>
    <row r="105" spans="1:16">
      <c r="B105" s="9" t="str">
        <f t="shared" si="14"/>
        <v/>
      </c>
      <c r="C105" s="157">
        <f>IF(D93="","-",+C104+1)</f>
        <v>2019</v>
      </c>
      <c r="D105" s="158">
        <f>IF(F104+SUM(E$99:E104)=D$92,F104,D$92-SUM(E$99:E104))</f>
        <v>911593</v>
      </c>
      <c r="E105" s="164">
        <f t="shared" si="15"/>
        <v>22512</v>
      </c>
      <c r="F105" s="163">
        <f t="shared" si="16"/>
        <v>889081</v>
      </c>
      <c r="G105" s="163">
        <f t="shared" si="17"/>
        <v>900337</v>
      </c>
      <c r="H105" s="167">
        <f t="shared" si="18"/>
        <v>136722.01865055203</v>
      </c>
      <c r="I105" s="317">
        <f t="shared" si="19"/>
        <v>136722.01865055203</v>
      </c>
      <c r="J105" s="162">
        <f t="shared" si="20"/>
        <v>0</v>
      </c>
      <c r="K105" s="162"/>
      <c r="L105" s="335"/>
      <c r="M105" s="162">
        <f t="shared" si="21"/>
        <v>0</v>
      </c>
      <c r="N105" s="335"/>
      <c r="O105" s="162">
        <f t="shared" si="22"/>
        <v>0</v>
      </c>
      <c r="P105" s="162">
        <f t="shared" si="23"/>
        <v>0</v>
      </c>
    </row>
    <row r="106" spans="1:16">
      <c r="B106" s="9" t="str">
        <f t="shared" si="14"/>
        <v/>
      </c>
      <c r="C106" s="157">
        <f>IF(D93="","-",+C105+1)</f>
        <v>2020</v>
      </c>
      <c r="D106" s="158">
        <f>IF(F105+SUM(E$99:E105)=D$92,F105,D$92-SUM(E$99:E105))</f>
        <v>889081</v>
      </c>
      <c r="E106" s="164">
        <f t="shared" si="15"/>
        <v>22512</v>
      </c>
      <c r="F106" s="163">
        <f t="shared" si="16"/>
        <v>866569</v>
      </c>
      <c r="G106" s="163">
        <f t="shared" si="17"/>
        <v>877825</v>
      </c>
      <c r="H106" s="167">
        <f t="shared" si="18"/>
        <v>133866.31468652387</v>
      </c>
      <c r="I106" s="317">
        <f t="shared" si="19"/>
        <v>133866.31468652387</v>
      </c>
      <c r="J106" s="162">
        <f t="shared" si="20"/>
        <v>0</v>
      </c>
      <c r="K106" s="162"/>
      <c r="L106" s="335"/>
      <c r="M106" s="162">
        <f t="shared" si="21"/>
        <v>0</v>
      </c>
      <c r="N106" s="335"/>
      <c r="O106" s="162">
        <f t="shared" si="22"/>
        <v>0</v>
      </c>
      <c r="P106" s="162">
        <f t="shared" si="23"/>
        <v>0</v>
      </c>
    </row>
    <row r="107" spans="1:16">
      <c r="B107" s="9" t="str">
        <f t="shared" si="14"/>
        <v/>
      </c>
      <c r="C107" s="157">
        <f>IF(D93="","-",+C106+1)</f>
        <v>2021</v>
      </c>
      <c r="D107" s="158">
        <f>IF(F106+SUM(E$99:E106)=D$92,F106,D$92-SUM(E$99:E106))</f>
        <v>866569</v>
      </c>
      <c r="E107" s="164">
        <f t="shared" si="15"/>
        <v>22512</v>
      </c>
      <c r="F107" s="163">
        <f t="shared" si="16"/>
        <v>844057</v>
      </c>
      <c r="G107" s="163">
        <f t="shared" si="17"/>
        <v>855313</v>
      </c>
      <c r="H107" s="167">
        <f t="shared" si="18"/>
        <v>131010.61072249571</v>
      </c>
      <c r="I107" s="317">
        <f t="shared" si="19"/>
        <v>131010.61072249571</v>
      </c>
      <c r="J107" s="162">
        <f t="shared" si="20"/>
        <v>0</v>
      </c>
      <c r="K107" s="162"/>
      <c r="L107" s="335"/>
      <c r="M107" s="162">
        <f t="shared" si="21"/>
        <v>0</v>
      </c>
      <c r="N107" s="335"/>
      <c r="O107" s="162">
        <f t="shared" si="22"/>
        <v>0</v>
      </c>
      <c r="P107" s="162">
        <f t="shared" si="23"/>
        <v>0</v>
      </c>
    </row>
    <row r="108" spans="1:16">
      <c r="B108" s="9" t="str">
        <f t="shared" si="14"/>
        <v/>
      </c>
      <c r="C108" s="157">
        <f>IF(D93="","-",+C107+1)</f>
        <v>2022</v>
      </c>
      <c r="D108" s="158">
        <f>IF(F107+SUM(E$99:E107)=D$92,F107,D$92-SUM(E$99:E107))</f>
        <v>844057</v>
      </c>
      <c r="E108" s="164">
        <f t="shared" si="15"/>
        <v>22512</v>
      </c>
      <c r="F108" s="163">
        <f t="shared" si="16"/>
        <v>821545</v>
      </c>
      <c r="G108" s="163">
        <f t="shared" si="17"/>
        <v>832801</v>
      </c>
      <c r="H108" s="167">
        <f t="shared" si="18"/>
        <v>128154.90675846754</v>
      </c>
      <c r="I108" s="317">
        <f t="shared" si="19"/>
        <v>128154.90675846754</v>
      </c>
      <c r="J108" s="162">
        <f t="shared" si="20"/>
        <v>0</v>
      </c>
      <c r="K108" s="162"/>
      <c r="L108" s="335"/>
      <c r="M108" s="162">
        <f t="shared" si="21"/>
        <v>0</v>
      </c>
      <c r="N108" s="335"/>
      <c r="O108" s="162">
        <f t="shared" si="22"/>
        <v>0</v>
      </c>
      <c r="P108" s="162">
        <f t="shared" si="23"/>
        <v>0</v>
      </c>
    </row>
    <row r="109" spans="1:16">
      <c r="B109" s="9" t="str">
        <f t="shared" si="14"/>
        <v/>
      </c>
      <c r="C109" s="157">
        <f>IF(D93="","-",+C108+1)</f>
        <v>2023</v>
      </c>
      <c r="D109" s="158">
        <f>IF(F108+SUM(E$99:E108)=D$92,F108,D$92-SUM(E$99:E108))</f>
        <v>821545</v>
      </c>
      <c r="E109" s="164">
        <f t="shared" si="15"/>
        <v>22512</v>
      </c>
      <c r="F109" s="163">
        <f t="shared" si="16"/>
        <v>799033</v>
      </c>
      <c r="G109" s="163">
        <f t="shared" si="17"/>
        <v>810289</v>
      </c>
      <c r="H109" s="167">
        <f t="shared" si="18"/>
        <v>125299.20279443938</v>
      </c>
      <c r="I109" s="317">
        <f t="shared" si="19"/>
        <v>125299.20279443938</v>
      </c>
      <c r="J109" s="162">
        <f t="shared" si="20"/>
        <v>0</v>
      </c>
      <c r="K109" s="162"/>
      <c r="L109" s="335"/>
      <c r="M109" s="162">
        <f t="shared" si="21"/>
        <v>0</v>
      </c>
      <c r="N109" s="335"/>
      <c r="O109" s="162">
        <f t="shared" si="22"/>
        <v>0</v>
      </c>
      <c r="P109" s="162">
        <f t="shared" si="23"/>
        <v>0</v>
      </c>
    </row>
    <row r="110" spans="1:16">
      <c r="B110" s="9" t="str">
        <f t="shared" si="14"/>
        <v/>
      </c>
      <c r="C110" s="157">
        <f>IF(D93="","-",+C109+1)</f>
        <v>2024</v>
      </c>
      <c r="D110" s="158">
        <f>IF(F109+SUM(E$99:E109)=D$92,F109,D$92-SUM(E$99:E109))</f>
        <v>799033</v>
      </c>
      <c r="E110" s="164">
        <f t="shared" si="15"/>
        <v>22512</v>
      </c>
      <c r="F110" s="163">
        <f t="shared" si="16"/>
        <v>776521</v>
      </c>
      <c r="G110" s="163">
        <f t="shared" si="17"/>
        <v>787777</v>
      </c>
      <c r="H110" s="167">
        <f t="shared" si="18"/>
        <v>122443.4988304112</v>
      </c>
      <c r="I110" s="317">
        <f t="shared" si="19"/>
        <v>122443.4988304112</v>
      </c>
      <c r="J110" s="162">
        <f t="shared" si="20"/>
        <v>0</v>
      </c>
      <c r="K110" s="162"/>
      <c r="L110" s="335"/>
      <c r="M110" s="162">
        <f t="shared" si="21"/>
        <v>0</v>
      </c>
      <c r="N110" s="335"/>
      <c r="O110" s="162">
        <f t="shared" si="22"/>
        <v>0</v>
      </c>
      <c r="P110" s="162">
        <f t="shared" si="23"/>
        <v>0</v>
      </c>
    </row>
    <row r="111" spans="1:16">
      <c r="B111" s="9" t="str">
        <f t="shared" si="14"/>
        <v/>
      </c>
      <c r="C111" s="157">
        <f>IF(D93="","-",+C110+1)</f>
        <v>2025</v>
      </c>
      <c r="D111" s="158">
        <f>IF(F110+SUM(E$99:E110)=D$92,F110,D$92-SUM(E$99:E110))</f>
        <v>776521</v>
      </c>
      <c r="E111" s="164">
        <f t="shared" si="15"/>
        <v>22512</v>
      </c>
      <c r="F111" s="163">
        <f t="shared" si="16"/>
        <v>754009</v>
      </c>
      <c r="G111" s="163">
        <f t="shared" si="17"/>
        <v>765265</v>
      </c>
      <c r="H111" s="167">
        <f t="shared" si="18"/>
        <v>119587.79486638305</v>
      </c>
      <c r="I111" s="317">
        <f t="shared" si="19"/>
        <v>119587.79486638305</v>
      </c>
      <c r="J111" s="162">
        <f t="shared" si="20"/>
        <v>0</v>
      </c>
      <c r="K111" s="162"/>
      <c r="L111" s="335"/>
      <c r="M111" s="162">
        <f t="shared" si="21"/>
        <v>0</v>
      </c>
      <c r="N111" s="335"/>
      <c r="O111" s="162">
        <f t="shared" si="22"/>
        <v>0</v>
      </c>
      <c r="P111" s="162">
        <f t="shared" si="23"/>
        <v>0</v>
      </c>
    </row>
    <row r="112" spans="1:16">
      <c r="B112" s="9" t="str">
        <f t="shared" si="14"/>
        <v/>
      </c>
      <c r="C112" s="157">
        <f>IF(D93="","-",+C111+1)</f>
        <v>2026</v>
      </c>
      <c r="D112" s="158">
        <f>IF(F111+SUM(E$99:E111)=D$92,F111,D$92-SUM(E$99:E111))</f>
        <v>754009</v>
      </c>
      <c r="E112" s="164">
        <f t="shared" si="15"/>
        <v>22512</v>
      </c>
      <c r="F112" s="163">
        <f t="shared" si="16"/>
        <v>731497</v>
      </c>
      <c r="G112" s="163">
        <f t="shared" si="17"/>
        <v>742753</v>
      </c>
      <c r="H112" s="167">
        <f t="shared" si="18"/>
        <v>116732.09090235487</v>
      </c>
      <c r="I112" s="317">
        <f t="shared" si="19"/>
        <v>116732.09090235487</v>
      </c>
      <c r="J112" s="162">
        <f t="shared" si="20"/>
        <v>0</v>
      </c>
      <c r="K112" s="162"/>
      <c r="L112" s="335"/>
      <c r="M112" s="162">
        <f t="shared" si="21"/>
        <v>0</v>
      </c>
      <c r="N112" s="335"/>
      <c r="O112" s="162">
        <f t="shared" si="22"/>
        <v>0</v>
      </c>
      <c r="P112" s="162">
        <f t="shared" si="23"/>
        <v>0</v>
      </c>
    </row>
    <row r="113" spans="2:16">
      <c r="B113" s="9" t="str">
        <f t="shared" si="14"/>
        <v/>
      </c>
      <c r="C113" s="157">
        <f>IF(D93="","-",+C112+1)</f>
        <v>2027</v>
      </c>
      <c r="D113" s="158">
        <f>IF(F112+SUM(E$99:E112)=D$92,F112,D$92-SUM(E$99:E112))</f>
        <v>731497</v>
      </c>
      <c r="E113" s="164">
        <f t="shared" si="15"/>
        <v>22512</v>
      </c>
      <c r="F113" s="163">
        <f t="shared" si="16"/>
        <v>708985</v>
      </c>
      <c r="G113" s="163">
        <f t="shared" si="17"/>
        <v>720241</v>
      </c>
      <c r="H113" s="167">
        <f t="shared" si="18"/>
        <v>113876.3869383267</v>
      </c>
      <c r="I113" s="317">
        <f t="shared" si="19"/>
        <v>113876.3869383267</v>
      </c>
      <c r="J113" s="162">
        <f t="shared" si="20"/>
        <v>0</v>
      </c>
      <c r="K113" s="162"/>
      <c r="L113" s="335"/>
      <c r="M113" s="162">
        <f t="shared" si="21"/>
        <v>0</v>
      </c>
      <c r="N113" s="335"/>
      <c r="O113" s="162">
        <f t="shared" si="22"/>
        <v>0</v>
      </c>
      <c r="P113" s="162">
        <f t="shared" si="23"/>
        <v>0</v>
      </c>
    </row>
    <row r="114" spans="2:16">
      <c r="B114" s="9" t="str">
        <f t="shared" si="14"/>
        <v/>
      </c>
      <c r="C114" s="157">
        <f>IF(D93="","-",+C113+1)</f>
        <v>2028</v>
      </c>
      <c r="D114" s="158">
        <f>IF(F113+SUM(E$99:E113)=D$92,F113,D$92-SUM(E$99:E113))</f>
        <v>708985</v>
      </c>
      <c r="E114" s="164">
        <f t="shared" si="15"/>
        <v>22512</v>
      </c>
      <c r="F114" s="163">
        <f t="shared" si="16"/>
        <v>686473</v>
      </c>
      <c r="G114" s="163">
        <f t="shared" si="17"/>
        <v>697729</v>
      </c>
      <c r="H114" s="167">
        <f t="shared" si="18"/>
        <v>111020.68297429854</v>
      </c>
      <c r="I114" s="317">
        <f t="shared" si="19"/>
        <v>111020.68297429854</v>
      </c>
      <c r="J114" s="162">
        <f t="shared" si="20"/>
        <v>0</v>
      </c>
      <c r="K114" s="162"/>
      <c r="L114" s="335"/>
      <c r="M114" s="162">
        <f t="shared" si="21"/>
        <v>0</v>
      </c>
      <c r="N114" s="335"/>
      <c r="O114" s="162">
        <f t="shared" si="22"/>
        <v>0</v>
      </c>
      <c r="P114" s="162">
        <f t="shared" si="23"/>
        <v>0</v>
      </c>
    </row>
    <row r="115" spans="2:16">
      <c r="B115" s="9" t="str">
        <f t="shared" si="14"/>
        <v/>
      </c>
      <c r="C115" s="157">
        <f>IF(D93="","-",+C114+1)</f>
        <v>2029</v>
      </c>
      <c r="D115" s="158">
        <f>IF(F114+SUM(E$99:E114)=D$92,F114,D$92-SUM(E$99:E114))</f>
        <v>686473</v>
      </c>
      <c r="E115" s="164">
        <f t="shared" si="15"/>
        <v>22512</v>
      </c>
      <c r="F115" s="163">
        <f t="shared" si="16"/>
        <v>663961</v>
      </c>
      <c r="G115" s="163">
        <f t="shared" si="17"/>
        <v>675217</v>
      </c>
      <c r="H115" s="167">
        <f t="shared" si="18"/>
        <v>108164.97901027037</v>
      </c>
      <c r="I115" s="317">
        <f t="shared" si="19"/>
        <v>108164.97901027037</v>
      </c>
      <c r="J115" s="162">
        <f t="shared" si="20"/>
        <v>0</v>
      </c>
      <c r="K115" s="162"/>
      <c r="L115" s="335"/>
      <c r="M115" s="162">
        <f t="shared" si="21"/>
        <v>0</v>
      </c>
      <c r="N115" s="335"/>
      <c r="O115" s="162">
        <f t="shared" si="22"/>
        <v>0</v>
      </c>
      <c r="P115" s="162">
        <f t="shared" si="23"/>
        <v>0</v>
      </c>
    </row>
    <row r="116" spans="2:16">
      <c r="B116" s="9" t="str">
        <f t="shared" si="14"/>
        <v/>
      </c>
      <c r="C116" s="157">
        <f>IF(D93="","-",+C115+1)</f>
        <v>2030</v>
      </c>
      <c r="D116" s="158">
        <f>IF(F115+SUM(E$99:E115)=D$92,F115,D$92-SUM(E$99:E115))</f>
        <v>663961</v>
      </c>
      <c r="E116" s="164">
        <f t="shared" si="15"/>
        <v>22512</v>
      </c>
      <c r="F116" s="163">
        <f t="shared" si="16"/>
        <v>641449</v>
      </c>
      <c r="G116" s="163">
        <f t="shared" si="17"/>
        <v>652705</v>
      </c>
      <c r="H116" s="167">
        <f t="shared" si="18"/>
        <v>105309.27504624221</v>
      </c>
      <c r="I116" s="317">
        <f t="shared" si="19"/>
        <v>105309.27504624221</v>
      </c>
      <c r="J116" s="162">
        <f t="shared" si="20"/>
        <v>0</v>
      </c>
      <c r="K116" s="162"/>
      <c r="L116" s="335"/>
      <c r="M116" s="162">
        <f t="shared" si="21"/>
        <v>0</v>
      </c>
      <c r="N116" s="335"/>
      <c r="O116" s="162">
        <f t="shared" si="22"/>
        <v>0</v>
      </c>
      <c r="P116" s="162">
        <f t="shared" si="23"/>
        <v>0</v>
      </c>
    </row>
    <row r="117" spans="2:16">
      <c r="B117" s="9" t="str">
        <f t="shared" si="14"/>
        <v/>
      </c>
      <c r="C117" s="157">
        <f>IF(D93="","-",+C116+1)</f>
        <v>2031</v>
      </c>
      <c r="D117" s="158">
        <f>IF(F116+SUM(E$99:E116)=D$92,F116,D$92-SUM(E$99:E116))</f>
        <v>641449</v>
      </c>
      <c r="E117" s="164">
        <f t="shared" si="15"/>
        <v>22512</v>
      </c>
      <c r="F117" s="163">
        <f t="shared" si="16"/>
        <v>618937</v>
      </c>
      <c r="G117" s="163">
        <f t="shared" si="17"/>
        <v>630193</v>
      </c>
      <c r="H117" s="167">
        <f t="shared" si="18"/>
        <v>102453.57108221404</v>
      </c>
      <c r="I117" s="317">
        <f t="shared" si="19"/>
        <v>102453.57108221404</v>
      </c>
      <c r="J117" s="162">
        <f t="shared" si="20"/>
        <v>0</v>
      </c>
      <c r="K117" s="162"/>
      <c r="L117" s="335"/>
      <c r="M117" s="162">
        <f t="shared" si="21"/>
        <v>0</v>
      </c>
      <c r="N117" s="335"/>
      <c r="O117" s="162">
        <f t="shared" si="22"/>
        <v>0</v>
      </c>
      <c r="P117" s="162">
        <f t="shared" si="23"/>
        <v>0</v>
      </c>
    </row>
    <row r="118" spans="2:16">
      <c r="B118" s="9" t="str">
        <f t="shared" si="14"/>
        <v/>
      </c>
      <c r="C118" s="157">
        <f>IF(D93="","-",+C117+1)</f>
        <v>2032</v>
      </c>
      <c r="D118" s="158">
        <f>IF(F117+SUM(E$99:E117)=D$92,F117,D$92-SUM(E$99:E117))</f>
        <v>618937</v>
      </c>
      <c r="E118" s="164">
        <f t="shared" si="15"/>
        <v>22512</v>
      </c>
      <c r="F118" s="163">
        <f t="shared" si="16"/>
        <v>596425</v>
      </c>
      <c r="G118" s="163">
        <f t="shared" si="17"/>
        <v>607681</v>
      </c>
      <c r="H118" s="167">
        <f t="shared" si="18"/>
        <v>99597.867118185866</v>
      </c>
      <c r="I118" s="317">
        <f t="shared" si="19"/>
        <v>99597.867118185866</v>
      </c>
      <c r="J118" s="162">
        <f t="shared" si="20"/>
        <v>0</v>
      </c>
      <c r="K118" s="162"/>
      <c r="L118" s="335"/>
      <c r="M118" s="162">
        <f t="shared" si="21"/>
        <v>0</v>
      </c>
      <c r="N118" s="335"/>
      <c r="O118" s="162">
        <f t="shared" si="22"/>
        <v>0</v>
      </c>
      <c r="P118" s="162">
        <f t="shared" si="23"/>
        <v>0</v>
      </c>
    </row>
    <row r="119" spans="2:16">
      <c r="B119" s="9" t="str">
        <f t="shared" si="14"/>
        <v/>
      </c>
      <c r="C119" s="157">
        <f>IF(D93="","-",+C118+1)</f>
        <v>2033</v>
      </c>
      <c r="D119" s="158">
        <f>IF(F118+SUM(E$99:E118)=D$92,F118,D$92-SUM(E$99:E118))</f>
        <v>596425</v>
      </c>
      <c r="E119" s="164">
        <f t="shared" si="15"/>
        <v>22512</v>
      </c>
      <c r="F119" s="163">
        <f t="shared" si="16"/>
        <v>573913</v>
      </c>
      <c r="G119" s="163">
        <f t="shared" si="17"/>
        <v>585169</v>
      </c>
      <c r="H119" s="167">
        <f t="shared" si="18"/>
        <v>96742.163154157708</v>
      </c>
      <c r="I119" s="317">
        <f t="shared" si="19"/>
        <v>96742.163154157708</v>
      </c>
      <c r="J119" s="162">
        <f t="shared" si="20"/>
        <v>0</v>
      </c>
      <c r="K119" s="162"/>
      <c r="L119" s="335"/>
      <c r="M119" s="162">
        <f t="shared" si="21"/>
        <v>0</v>
      </c>
      <c r="N119" s="335"/>
      <c r="O119" s="162">
        <f t="shared" si="22"/>
        <v>0</v>
      </c>
      <c r="P119" s="162">
        <f t="shared" si="23"/>
        <v>0</v>
      </c>
    </row>
    <row r="120" spans="2:16">
      <c r="B120" s="9" t="str">
        <f t="shared" si="14"/>
        <v/>
      </c>
      <c r="C120" s="157">
        <f>IF(D93="","-",+C119+1)</f>
        <v>2034</v>
      </c>
      <c r="D120" s="158">
        <f>IF(F119+SUM(E$99:E119)=D$92,F119,D$92-SUM(E$99:E119))</f>
        <v>573913</v>
      </c>
      <c r="E120" s="164">
        <f t="shared" si="15"/>
        <v>22512</v>
      </c>
      <c r="F120" s="163">
        <f t="shared" si="16"/>
        <v>551401</v>
      </c>
      <c r="G120" s="163">
        <f t="shared" si="17"/>
        <v>562657</v>
      </c>
      <c r="H120" s="167">
        <f t="shared" si="18"/>
        <v>93886.459190129535</v>
      </c>
      <c r="I120" s="317">
        <f t="shared" si="19"/>
        <v>93886.459190129535</v>
      </c>
      <c r="J120" s="162">
        <f t="shared" si="20"/>
        <v>0</v>
      </c>
      <c r="K120" s="162"/>
      <c r="L120" s="335"/>
      <c r="M120" s="162">
        <f t="shared" si="21"/>
        <v>0</v>
      </c>
      <c r="N120" s="335"/>
      <c r="O120" s="162">
        <f t="shared" si="22"/>
        <v>0</v>
      </c>
      <c r="P120" s="162">
        <f t="shared" si="23"/>
        <v>0</v>
      </c>
    </row>
    <row r="121" spans="2:16">
      <c r="B121" s="9" t="str">
        <f t="shared" si="14"/>
        <v/>
      </c>
      <c r="C121" s="157">
        <f>IF(D93="","-",+C120+1)</f>
        <v>2035</v>
      </c>
      <c r="D121" s="158">
        <f>IF(F120+SUM(E$99:E120)=D$92,F120,D$92-SUM(E$99:E120))</f>
        <v>551401</v>
      </c>
      <c r="E121" s="164">
        <f t="shared" si="15"/>
        <v>22512</v>
      </c>
      <c r="F121" s="163">
        <f t="shared" si="16"/>
        <v>528889</v>
      </c>
      <c r="G121" s="163">
        <f t="shared" si="17"/>
        <v>540145</v>
      </c>
      <c r="H121" s="167">
        <f t="shared" si="18"/>
        <v>91030.755226101377</v>
      </c>
      <c r="I121" s="317">
        <f t="shared" si="19"/>
        <v>91030.755226101377</v>
      </c>
      <c r="J121" s="162">
        <f t="shared" si="20"/>
        <v>0</v>
      </c>
      <c r="K121" s="162"/>
      <c r="L121" s="335"/>
      <c r="M121" s="162">
        <f t="shared" si="21"/>
        <v>0</v>
      </c>
      <c r="N121" s="335"/>
      <c r="O121" s="162">
        <f t="shared" si="22"/>
        <v>0</v>
      </c>
      <c r="P121" s="162">
        <f t="shared" si="23"/>
        <v>0</v>
      </c>
    </row>
    <row r="122" spans="2:16">
      <c r="B122" s="9" t="str">
        <f t="shared" si="14"/>
        <v/>
      </c>
      <c r="C122" s="157">
        <f>IF(D93="","-",+C121+1)</f>
        <v>2036</v>
      </c>
      <c r="D122" s="158">
        <f>IF(F121+SUM(E$99:E121)=D$92,F121,D$92-SUM(E$99:E121))</f>
        <v>528889</v>
      </c>
      <c r="E122" s="164">
        <f t="shared" si="15"/>
        <v>22512</v>
      </c>
      <c r="F122" s="163">
        <f t="shared" si="16"/>
        <v>506377</v>
      </c>
      <c r="G122" s="163">
        <f t="shared" si="17"/>
        <v>517633</v>
      </c>
      <c r="H122" s="167">
        <f t="shared" si="18"/>
        <v>88175.051262073204</v>
      </c>
      <c r="I122" s="317">
        <f t="shared" si="19"/>
        <v>88175.051262073204</v>
      </c>
      <c r="J122" s="162">
        <f t="shared" si="20"/>
        <v>0</v>
      </c>
      <c r="K122" s="162"/>
      <c r="L122" s="335"/>
      <c r="M122" s="162">
        <f t="shared" si="21"/>
        <v>0</v>
      </c>
      <c r="N122" s="335"/>
      <c r="O122" s="162">
        <f t="shared" si="22"/>
        <v>0</v>
      </c>
      <c r="P122" s="162">
        <f t="shared" si="23"/>
        <v>0</v>
      </c>
    </row>
    <row r="123" spans="2:16">
      <c r="B123" s="9" t="str">
        <f t="shared" si="14"/>
        <v/>
      </c>
      <c r="C123" s="157">
        <f>IF(D93="","-",+C122+1)</f>
        <v>2037</v>
      </c>
      <c r="D123" s="158">
        <f>IF(F122+SUM(E$99:E122)=D$92,F122,D$92-SUM(E$99:E122))</f>
        <v>506377</v>
      </c>
      <c r="E123" s="164">
        <f t="shared" si="15"/>
        <v>22512</v>
      </c>
      <c r="F123" s="163">
        <f t="shared" si="16"/>
        <v>483865</v>
      </c>
      <c r="G123" s="163">
        <f t="shared" si="17"/>
        <v>495121</v>
      </c>
      <c r="H123" s="167">
        <f t="shared" si="18"/>
        <v>85319.347298045031</v>
      </c>
      <c r="I123" s="317">
        <f t="shared" si="19"/>
        <v>85319.347298045031</v>
      </c>
      <c r="J123" s="162">
        <f t="shared" si="20"/>
        <v>0</v>
      </c>
      <c r="K123" s="162"/>
      <c r="L123" s="335"/>
      <c r="M123" s="162">
        <f t="shared" si="21"/>
        <v>0</v>
      </c>
      <c r="N123" s="335"/>
      <c r="O123" s="162">
        <f t="shared" si="22"/>
        <v>0</v>
      </c>
      <c r="P123" s="162">
        <f t="shared" si="23"/>
        <v>0</v>
      </c>
    </row>
    <row r="124" spans="2:16">
      <c r="B124" s="9" t="str">
        <f t="shared" si="14"/>
        <v/>
      </c>
      <c r="C124" s="157">
        <f>IF(D93="","-",+C123+1)</f>
        <v>2038</v>
      </c>
      <c r="D124" s="158">
        <f>IF(F123+SUM(E$99:E123)=D$92,F123,D$92-SUM(E$99:E123))</f>
        <v>483865</v>
      </c>
      <c r="E124" s="164">
        <f t="shared" si="15"/>
        <v>22512</v>
      </c>
      <c r="F124" s="163">
        <f t="shared" si="16"/>
        <v>461353</v>
      </c>
      <c r="G124" s="163">
        <f t="shared" si="17"/>
        <v>472609</v>
      </c>
      <c r="H124" s="167">
        <f t="shared" si="18"/>
        <v>82463.643334016873</v>
      </c>
      <c r="I124" s="317">
        <f t="shared" si="19"/>
        <v>82463.643334016873</v>
      </c>
      <c r="J124" s="162">
        <f t="shared" si="20"/>
        <v>0</v>
      </c>
      <c r="K124" s="162"/>
      <c r="L124" s="335"/>
      <c r="M124" s="162">
        <f t="shared" si="21"/>
        <v>0</v>
      </c>
      <c r="N124" s="335"/>
      <c r="O124" s="162">
        <f t="shared" si="22"/>
        <v>0</v>
      </c>
      <c r="P124" s="162">
        <f t="shared" si="23"/>
        <v>0</v>
      </c>
    </row>
    <row r="125" spans="2:16">
      <c r="B125" s="9" t="str">
        <f t="shared" si="14"/>
        <v/>
      </c>
      <c r="C125" s="157">
        <f>IF(D93="","-",+C124+1)</f>
        <v>2039</v>
      </c>
      <c r="D125" s="158">
        <f>IF(F124+SUM(E$99:E124)=D$92,F124,D$92-SUM(E$99:E124))</f>
        <v>461353</v>
      </c>
      <c r="E125" s="164">
        <f t="shared" si="15"/>
        <v>22512</v>
      </c>
      <c r="F125" s="163">
        <f t="shared" si="16"/>
        <v>438841</v>
      </c>
      <c r="G125" s="163">
        <f t="shared" si="17"/>
        <v>450097</v>
      </c>
      <c r="H125" s="167">
        <f t="shared" si="18"/>
        <v>79607.939369988715</v>
      </c>
      <c r="I125" s="317">
        <f t="shared" si="19"/>
        <v>79607.939369988715</v>
      </c>
      <c r="J125" s="162">
        <f t="shared" si="20"/>
        <v>0</v>
      </c>
      <c r="K125" s="162"/>
      <c r="L125" s="335"/>
      <c r="M125" s="162">
        <f t="shared" si="21"/>
        <v>0</v>
      </c>
      <c r="N125" s="335"/>
      <c r="O125" s="162">
        <f t="shared" si="22"/>
        <v>0</v>
      </c>
      <c r="P125" s="162">
        <f t="shared" si="23"/>
        <v>0</v>
      </c>
    </row>
    <row r="126" spans="2:16">
      <c r="B126" s="9" t="str">
        <f t="shared" si="14"/>
        <v/>
      </c>
      <c r="C126" s="157">
        <f>IF(D93="","-",+C125+1)</f>
        <v>2040</v>
      </c>
      <c r="D126" s="158">
        <f>IF(F125+SUM(E$99:E125)=D$92,F125,D$92-SUM(E$99:E125))</f>
        <v>438841</v>
      </c>
      <c r="E126" s="164">
        <f t="shared" si="15"/>
        <v>22512</v>
      </c>
      <c r="F126" s="163">
        <f t="shared" si="16"/>
        <v>416329</v>
      </c>
      <c r="G126" s="163">
        <f t="shared" si="17"/>
        <v>427585</v>
      </c>
      <c r="H126" s="167">
        <f t="shared" si="18"/>
        <v>76752.235405960542</v>
      </c>
      <c r="I126" s="317">
        <f t="shared" si="19"/>
        <v>76752.235405960542</v>
      </c>
      <c r="J126" s="162">
        <f t="shared" si="20"/>
        <v>0</v>
      </c>
      <c r="K126" s="162"/>
      <c r="L126" s="335"/>
      <c r="M126" s="162">
        <f t="shared" si="21"/>
        <v>0</v>
      </c>
      <c r="N126" s="335"/>
      <c r="O126" s="162">
        <f t="shared" si="22"/>
        <v>0</v>
      </c>
      <c r="P126" s="162">
        <f t="shared" si="23"/>
        <v>0</v>
      </c>
    </row>
    <row r="127" spans="2:16">
      <c r="B127" s="9" t="str">
        <f t="shared" si="14"/>
        <v/>
      </c>
      <c r="C127" s="157">
        <f>IF(D93="","-",+C126+1)</f>
        <v>2041</v>
      </c>
      <c r="D127" s="158">
        <f>IF(F126+SUM(E$99:E126)=D$92,F126,D$92-SUM(E$99:E126))</f>
        <v>416329</v>
      </c>
      <c r="E127" s="164">
        <f t="shared" si="15"/>
        <v>22512</v>
      </c>
      <c r="F127" s="163">
        <f t="shared" si="16"/>
        <v>393817</v>
      </c>
      <c r="G127" s="163">
        <f t="shared" si="17"/>
        <v>405073</v>
      </c>
      <c r="H127" s="167">
        <f t="shared" si="18"/>
        <v>73896.531441932369</v>
      </c>
      <c r="I127" s="317">
        <f t="shared" si="19"/>
        <v>73896.531441932369</v>
      </c>
      <c r="J127" s="162">
        <f t="shared" si="20"/>
        <v>0</v>
      </c>
      <c r="K127" s="162"/>
      <c r="L127" s="335"/>
      <c r="M127" s="162">
        <f t="shared" si="21"/>
        <v>0</v>
      </c>
      <c r="N127" s="335"/>
      <c r="O127" s="162">
        <f t="shared" si="22"/>
        <v>0</v>
      </c>
      <c r="P127" s="162">
        <f t="shared" si="23"/>
        <v>0</v>
      </c>
    </row>
    <row r="128" spans="2:16">
      <c r="B128" s="9" t="str">
        <f t="shared" si="14"/>
        <v/>
      </c>
      <c r="C128" s="157">
        <f>IF(D93="","-",+C127+1)</f>
        <v>2042</v>
      </c>
      <c r="D128" s="158">
        <f>IF(F127+SUM(E$99:E127)=D$92,F127,D$92-SUM(E$99:E127))</f>
        <v>393817</v>
      </c>
      <c r="E128" s="164">
        <f t="shared" si="15"/>
        <v>22512</v>
      </c>
      <c r="F128" s="163">
        <f t="shared" si="16"/>
        <v>371305</v>
      </c>
      <c r="G128" s="163">
        <f t="shared" si="17"/>
        <v>382561</v>
      </c>
      <c r="H128" s="167">
        <f t="shared" si="18"/>
        <v>71040.827477904211</v>
      </c>
      <c r="I128" s="317">
        <f t="shared" si="19"/>
        <v>71040.827477904211</v>
      </c>
      <c r="J128" s="162">
        <f t="shared" si="20"/>
        <v>0</v>
      </c>
      <c r="K128" s="162"/>
      <c r="L128" s="335"/>
      <c r="M128" s="162">
        <f t="shared" si="21"/>
        <v>0</v>
      </c>
      <c r="N128" s="335"/>
      <c r="O128" s="162">
        <f t="shared" si="22"/>
        <v>0</v>
      </c>
      <c r="P128" s="162">
        <f t="shared" si="23"/>
        <v>0</v>
      </c>
    </row>
    <row r="129" spans="2:16">
      <c r="B129" s="9" t="str">
        <f t="shared" si="14"/>
        <v/>
      </c>
      <c r="C129" s="157">
        <f>IF(D93="","-",+C128+1)</f>
        <v>2043</v>
      </c>
      <c r="D129" s="158">
        <f>IF(F128+SUM(E$99:E128)=D$92,F128,D$92-SUM(E$99:E128))</f>
        <v>371305</v>
      </c>
      <c r="E129" s="164">
        <f t="shared" si="15"/>
        <v>22512</v>
      </c>
      <c r="F129" s="163">
        <f t="shared" si="16"/>
        <v>348793</v>
      </c>
      <c r="G129" s="163">
        <f t="shared" si="17"/>
        <v>360049</v>
      </c>
      <c r="H129" s="167">
        <f t="shared" si="18"/>
        <v>68185.123513876038</v>
      </c>
      <c r="I129" s="317">
        <f t="shared" si="19"/>
        <v>68185.123513876038</v>
      </c>
      <c r="J129" s="162">
        <f t="shared" si="20"/>
        <v>0</v>
      </c>
      <c r="K129" s="162"/>
      <c r="L129" s="335"/>
      <c r="M129" s="162">
        <f t="shared" si="21"/>
        <v>0</v>
      </c>
      <c r="N129" s="335"/>
      <c r="O129" s="162">
        <f t="shared" si="22"/>
        <v>0</v>
      </c>
      <c r="P129" s="162">
        <f t="shared" si="23"/>
        <v>0</v>
      </c>
    </row>
    <row r="130" spans="2:16">
      <c r="B130" s="9" t="str">
        <f t="shared" si="14"/>
        <v/>
      </c>
      <c r="C130" s="157">
        <f>IF(D93="","-",+C129+1)</f>
        <v>2044</v>
      </c>
      <c r="D130" s="158">
        <f>IF(F129+SUM(E$99:E129)=D$92,F129,D$92-SUM(E$99:E129))</f>
        <v>348793</v>
      </c>
      <c r="E130" s="164">
        <f t="shared" si="15"/>
        <v>22512</v>
      </c>
      <c r="F130" s="163">
        <f t="shared" si="16"/>
        <v>326281</v>
      </c>
      <c r="G130" s="163">
        <f t="shared" si="17"/>
        <v>337537</v>
      </c>
      <c r="H130" s="167">
        <f t="shared" si="18"/>
        <v>65329.419549847873</v>
      </c>
      <c r="I130" s="317">
        <f t="shared" si="19"/>
        <v>65329.419549847873</v>
      </c>
      <c r="J130" s="162">
        <f t="shared" si="20"/>
        <v>0</v>
      </c>
      <c r="K130" s="162"/>
      <c r="L130" s="335"/>
      <c r="M130" s="162">
        <f t="shared" si="21"/>
        <v>0</v>
      </c>
      <c r="N130" s="335"/>
      <c r="O130" s="162">
        <f t="shared" si="22"/>
        <v>0</v>
      </c>
      <c r="P130" s="162">
        <f t="shared" si="23"/>
        <v>0</v>
      </c>
    </row>
    <row r="131" spans="2:16">
      <c r="B131" s="9" t="str">
        <f t="shared" si="14"/>
        <v/>
      </c>
      <c r="C131" s="157">
        <f>IF(D93="","-",+C130+1)</f>
        <v>2045</v>
      </c>
      <c r="D131" s="158">
        <f>IF(F130+SUM(E$99:E130)=D$92,F130,D$92-SUM(E$99:E130))</f>
        <v>326281</v>
      </c>
      <c r="E131" s="164">
        <f t="shared" si="15"/>
        <v>22512</v>
      </c>
      <c r="F131" s="163">
        <f t="shared" si="16"/>
        <v>303769</v>
      </c>
      <c r="G131" s="163">
        <f t="shared" si="17"/>
        <v>315025</v>
      </c>
      <c r="H131" s="167">
        <f t="shared" si="18"/>
        <v>62473.715585819707</v>
      </c>
      <c r="I131" s="317">
        <f t="shared" si="19"/>
        <v>62473.715585819707</v>
      </c>
      <c r="J131" s="162">
        <f t="shared" si="20"/>
        <v>0</v>
      </c>
      <c r="K131" s="162"/>
      <c r="L131" s="335"/>
      <c r="M131" s="162">
        <f t="shared" ref="M131:M154" si="24">IF(L541&lt;&gt;0,+H541-L541,0)</f>
        <v>0</v>
      </c>
      <c r="N131" s="335"/>
      <c r="O131" s="162">
        <f t="shared" ref="O131:O154" si="25">IF(N541&lt;&gt;0,+I541-N541,0)</f>
        <v>0</v>
      </c>
      <c r="P131" s="162">
        <f t="shared" ref="P131:P154" si="26">+O541-M541</f>
        <v>0</v>
      </c>
    </row>
    <row r="132" spans="2:16">
      <c r="B132" s="9" t="str">
        <f t="shared" si="14"/>
        <v/>
      </c>
      <c r="C132" s="157">
        <f>IF(D93="","-",+C131+1)</f>
        <v>2046</v>
      </c>
      <c r="D132" s="158">
        <f>IF(F131+SUM(E$99:E131)=D$92,F131,D$92-SUM(E$99:E131))</f>
        <v>303769</v>
      </c>
      <c r="E132" s="164">
        <f t="shared" si="15"/>
        <v>22512</v>
      </c>
      <c r="F132" s="163">
        <f t="shared" si="16"/>
        <v>281257</v>
      </c>
      <c r="G132" s="163">
        <f t="shared" si="17"/>
        <v>292513</v>
      </c>
      <c r="H132" s="167">
        <f t="shared" si="18"/>
        <v>59618.011621791542</v>
      </c>
      <c r="I132" s="317">
        <f t="shared" si="19"/>
        <v>59618.011621791542</v>
      </c>
      <c r="J132" s="162">
        <f t="shared" si="20"/>
        <v>0</v>
      </c>
      <c r="K132" s="162"/>
      <c r="L132" s="335"/>
      <c r="M132" s="162">
        <f t="shared" si="24"/>
        <v>0</v>
      </c>
      <c r="N132" s="335"/>
      <c r="O132" s="162">
        <f t="shared" si="25"/>
        <v>0</v>
      </c>
      <c r="P132" s="162">
        <f t="shared" si="26"/>
        <v>0</v>
      </c>
    </row>
    <row r="133" spans="2:16">
      <c r="B133" s="9" t="str">
        <f t="shared" si="14"/>
        <v/>
      </c>
      <c r="C133" s="157">
        <f>IF(D93="","-",+C132+1)</f>
        <v>2047</v>
      </c>
      <c r="D133" s="158">
        <f>IF(F132+SUM(E$99:E132)=D$92,F132,D$92-SUM(E$99:E132))</f>
        <v>281257</v>
      </c>
      <c r="E133" s="164">
        <f t="shared" si="15"/>
        <v>22512</v>
      </c>
      <c r="F133" s="163">
        <f t="shared" si="16"/>
        <v>258745</v>
      </c>
      <c r="G133" s="163">
        <f t="shared" si="17"/>
        <v>270001</v>
      </c>
      <c r="H133" s="167">
        <f t="shared" si="18"/>
        <v>56762.307657763369</v>
      </c>
      <c r="I133" s="317">
        <f t="shared" si="19"/>
        <v>56762.307657763369</v>
      </c>
      <c r="J133" s="162">
        <f t="shared" si="20"/>
        <v>0</v>
      </c>
      <c r="K133" s="162"/>
      <c r="L133" s="335"/>
      <c r="M133" s="162">
        <f t="shared" si="24"/>
        <v>0</v>
      </c>
      <c r="N133" s="335"/>
      <c r="O133" s="162">
        <f t="shared" si="25"/>
        <v>0</v>
      </c>
      <c r="P133" s="162">
        <f t="shared" si="26"/>
        <v>0</v>
      </c>
    </row>
    <row r="134" spans="2:16">
      <c r="B134" s="9" t="str">
        <f t="shared" si="14"/>
        <v/>
      </c>
      <c r="C134" s="157">
        <f>IF(D93="","-",+C133+1)</f>
        <v>2048</v>
      </c>
      <c r="D134" s="158">
        <f>IF(F133+SUM(E$99:E133)=D$92,F133,D$92-SUM(E$99:E133))</f>
        <v>258745</v>
      </c>
      <c r="E134" s="164">
        <f t="shared" si="15"/>
        <v>22512</v>
      </c>
      <c r="F134" s="163">
        <f t="shared" si="16"/>
        <v>236233</v>
      </c>
      <c r="G134" s="163">
        <f t="shared" si="17"/>
        <v>247489</v>
      </c>
      <c r="H134" s="167">
        <f t="shared" si="18"/>
        <v>53906.603693735204</v>
      </c>
      <c r="I134" s="317">
        <f t="shared" si="19"/>
        <v>53906.603693735204</v>
      </c>
      <c r="J134" s="162">
        <f t="shared" si="20"/>
        <v>0</v>
      </c>
      <c r="K134" s="162"/>
      <c r="L134" s="335"/>
      <c r="M134" s="162">
        <f t="shared" si="24"/>
        <v>0</v>
      </c>
      <c r="N134" s="335"/>
      <c r="O134" s="162">
        <f t="shared" si="25"/>
        <v>0</v>
      </c>
      <c r="P134" s="162">
        <f t="shared" si="26"/>
        <v>0</v>
      </c>
    </row>
    <row r="135" spans="2:16">
      <c r="B135" s="9" t="str">
        <f t="shared" si="14"/>
        <v/>
      </c>
      <c r="C135" s="157">
        <f>IF(D93="","-",+C134+1)</f>
        <v>2049</v>
      </c>
      <c r="D135" s="158">
        <f>IF(F134+SUM(E$99:E134)=D$92,F134,D$92-SUM(E$99:E134))</f>
        <v>236233</v>
      </c>
      <c r="E135" s="164">
        <f t="shared" si="15"/>
        <v>22512</v>
      </c>
      <c r="F135" s="163">
        <f t="shared" si="16"/>
        <v>213721</v>
      </c>
      <c r="G135" s="163">
        <f t="shared" si="17"/>
        <v>224977</v>
      </c>
      <c r="H135" s="167">
        <f t="shared" si="18"/>
        <v>51050.899729707038</v>
      </c>
      <c r="I135" s="317">
        <f t="shared" si="19"/>
        <v>51050.899729707038</v>
      </c>
      <c r="J135" s="162">
        <f t="shared" si="20"/>
        <v>0</v>
      </c>
      <c r="K135" s="162"/>
      <c r="L135" s="335"/>
      <c r="M135" s="162">
        <f t="shared" si="24"/>
        <v>0</v>
      </c>
      <c r="N135" s="335"/>
      <c r="O135" s="162">
        <f t="shared" si="25"/>
        <v>0</v>
      </c>
      <c r="P135" s="162">
        <f t="shared" si="26"/>
        <v>0</v>
      </c>
    </row>
    <row r="136" spans="2:16">
      <c r="B136" s="9" t="str">
        <f t="shared" si="14"/>
        <v/>
      </c>
      <c r="C136" s="157">
        <f>IF(D93="","-",+C135+1)</f>
        <v>2050</v>
      </c>
      <c r="D136" s="158">
        <f>IF(F135+SUM(E$99:E135)=D$92,F135,D$92-SUM(E$99:E135))</f>
        <v>213721</v>
      </c>
      <c r="E136" s="164">
        <f t="shared" si="15"/>
        <v>22512</v>
      </c>
      <c r="F136" s="163">
        <f t="shared" si="16"/>
        <v>191209</v>
      </c>
      <c r="G136" s="163">
        <f t="shared" si="17"/>
        <v>202465</v>
      </c>
      <c r="H136" s="167">
        <f t="shared" si="18"/>
        <v>48195.195765678873</v>
      </c>
      <c r="I136" s="317">
        <f t="shared" si="19"/>
        <v>48195.195765678873</v>
      </c>
      <c r="J136" s="162">
        <f t="shared" si="20"/>
        <v>0</v>
      </c>
      <c r="K136" s="162"/>
      <c r="L136" s="335"/>
      <c r="M136" s="162">
        <f t="shared" si="24"/>
        <v>0</v>
      </c>
      <c r="N136" s="335"/>
      <c r="O136" s="162">
        <f t="shared" si="25"/>
        <v>0</v>
      </c>
      <c r="P136" s="162">
        <f t="shared" si="26"/>
        <v>0</v>
      </c>
    </row>
    <row r="137" spans="2:16">
      <c r="B137" s="9" t="str">
        <f t="shared" si="14"/>
        <v/>
      </c>
      <c r="C137" s="157">
        <f>IF(D93="","-",+C136+1)</f>
        <v>2051</v>
      </c>
      <c r="D137" s="158">
        <f>IF(F136+SUM(E$99:E136)=D$92,F136,D$92-SUM(E$99:E136))</f>
        <v>191209</v>
      </c>
      <c r="E137" s="164">
        <f t="shared" si="15"/>
        <v>22512</v>
      </c>
      <c r="F137" s="163">
        <f t="shared" si="16"/>
        <v>168697</v>
      </c>
      <c r="G137" s="163">
        <f t="shared" si="17"/>
        <v>179953</v>
      </c>
      <c r="H137" s="167">
        <f t="shared" si="18"/>
        <v>45339.491801650707</v>
      </c>
      <c r="I137" s="317">
        <f t="shared" si="19"/>
        <v>45339.491801650707</v>
      </c>
      <c r="J137" s="162">
        <f t="shared" si="20"/>
        <v>0</v>
      </c>
      <c r="K137" s="162"/>
      <c r="L137" s="335"/>
      <c r="M137" s="162">
        <f t="shared" si="24"/>
        <v>0</v>
      </c>
      <c r="N137" s="335"/>
      <c r="O137" s="162">
        <f t="shared" si="25"/>
        <v>0</v>
      </c>
      <c r="P137" s="162">
        <f t="shared" si="26"/>
        <v>0</v>
      </c>
    </row>
    <row r="138" spans="2:16">
      <c r="B138" s="9" t="str">
        <f t="shared" si="14"/>
        <v/>
      </c>
      <c r="C138" s="157">
        <f>IF(D93="","-",+C137+1)</f>
        <v>2052</v>
      </c>
      <c r="D138" s="158">
        <f>IF(F137+SUM(E$99:E137)=D$92,F137,D$92-SUM(E$99:E137))</f>
        <v>168697</v>
      </c>
      <c r="E138" s="164">
        <f t="shared" si="15"/>
        <v>22512</v>
      </c>
      <c r="F138" s="163">
        <f t="shared" si="16"/>
        <v>146185</v>
      </c>
      <c r="G138" s="163">
        <f t="shared" si="17"/>
        <v>157441</v>
      </c>
      <c r="H138" s="167">
        <f t="shared" si="18"/>
        <v>42483.787837622542</v>
      </c>
      <c r="I138" s="317">
        <f t="shared" si="19"/>
        <v>42483.787837622542</v>
      </c>
      <c r="J138" s="162">
        <f t="shared" si="20"/>
        <v>0</v>
      </c>
      <c r="K138" s="162"/>
      <c r="L138" s="335"/>
      <c r="M138" s="162">
        <f t="shared" si="24"/>
        <v>0</v>
      </c>
      <c r="N138" s="335"/>
      <c r="O138" s="162">
        <f t="shared" si="25"/>
        <v>0</v>
      </c>
      <c r="P138" s="162">
        <f t="shared" si="26"/>
        <v>0</v>
      </c>
    </row>
    <row r="139" spans="2:16">
      <c r="B139" s="9" t="str">
        <f t="shared" si="14"/>
        <v/>
      </c>
      <c r="C139" s="157">
        <f>IF(D93="","-",+C138+1)</f>
        <v>2053</v>
      </c>
      <c r="D139" s="158">
        <f>IF(F138+SUM(E$99:E138)=D$92,F138,D$92-SUM(E$99:E138))</f>
        <v>146185</v>
      </c>
      <c r="E139" s="164">
        <f t="shared" si="15"/>
        <v>22512</v>
      </c>
      <c r="F139" s="163">
        <f t="shared" si="16"/>
        <v>123673</v>
      </c>
      <c r="G139" s="163">
        <f t="shared" si="17"/>
        <v>134929</v>
      </c>
      <c r="H139" s="167">
        <f t="shared" si="18"/>
        <v>39628.083873594369</v>
      </c>
      <c r="I139" s="317">
        <f t="shared" si="19"/>
        <v>39628.083873594369</v>
      </c>
      <c r="J139" s="162">
        <f t="shared" si="20"/>
        <v>0</v>
      </c>
      <c r="K139" s="162"/>
      <c r="L139" s="335"/>
      <c r="M139" s="162">
        <f t="shared" si="24"/>
        <v>0</v>
      </c>
      <c r="N139" s="335"/>
      <c r="O139" s="162">
        <f t="shared" si="25"/>
        <v>0</v>
      </c>
      <c r="P139" s="162">
        <f t="shared" si="26"/>
        <v>0</v>
      </c>
    </row>
    <row r="140" spans="2:16">
      <c r="B140" s="9" t="str">
        <f t="shared" si="14"/>
        <v/>
      </c>
      <c r="C140" s="157">
        <f>IF(D93="","-",+C139+1)</f>
        <v>2054</v>
      </c>
      <c r="D140" s="158">
        <f>IF(F139+SUM(E$99:E139)=D$92,F139,D$92-SUM(E$99:E139))</f>
        <v>123673</v>
      </c>
      <c r="E140" s="164">
        <f t="shared" si="15"/>
        <v>22512</v>
      </c>
      <c r="F140" s="163">
        <f t="shared" si="16"/>
        <v>101161</v>
      </c>
      <c r="G140" s="163">
        <f t="shared" si="17"/>
        <v>112417</v>
      </c>
      <c r="H140" s="167">
        <f t="shared" si="18"/>
        <v>36772.379909566203</v>
      </c>
      <c r="I140" s="317">
        <f t="shared" si="19"/>
        <v>36772.379909566203</v>
      </c>
      <c r="J140" s="162">
        <f t="shared" si="20"/>
        <v>0</v>
      </c>
      <c r="K140" s="162"/>
      <c r="L140" s="335"/>
      <c r="M140" s="162">
        <f t="shared" si="24"/>
        <v>0</v>
      </c>
      <c r="N140" s="335"/>
      <c r="O140" s="162">
        <f t="shared" si="25"/>
        <v>0</v>
      </c>
      <c r="P140" s="162">
        <f t="shared" si="26"/>
        <v>0</v>
      </c>
    </row>
    <row r="141" spans="2:16">
      <c r="B141" s="9" t="str">
        <f t="shared" si="14"/>
        <v/>
      </c>
      <c r="C141" s="157">
        <f>IF(D93="","-",+C140+1)</f>
        <v>2055</v>
      </c>
      <c r="D141" s="158">
        <f>IF(F140+SUM(E$99:E140)=D$92,F140,D$92-SUM(E$99:E140))</f>
        <v>101161</v>
      </c>
      <c r="E141" s="164">
        <f t="shared" si="15"/>
        <v>22512</v>
      </c>
      <c r="F141" s="163">
        <f t="shared" si="16"/>
        <v>78649</v>
      </c>
      <c r="G141" s="163">
        <f t="shared" si="17"/>
        <v>89905</v>
      </c>
      <c r="H141" s="167">
        <f t="shared" si="18"/>
        <v>33916.675945538038</v>
      </c>
      <c r="I141" s="317">
        <f t="shared" si="19"/>
        <v>33916.675945538038</v>
      </c>
      <c r="J141" s="162">
        <f t="shared" si="20"/>
        <v>0</v>
      </c>
      <c r="K141" s="162"/>
      <c r="L141" s="335"/>
      <c r="M141" s="162">
        <f t="shared" si="24"/>
        <v>0</v>
      </c>
      <c r="N141" s="335"/>
      <c r="O141" s="162">
        <f t="shared" si="25"/>
        <v>0</v>
      </c>
      <c r="P141" s="162">
        <f t="shared" si="26"/>
        <v>0</v>
      </c>
    </row>
    <row r="142" spans="2:16">
      <c r="B142" s="9" t="str">
        <f t="shared" si="14"/>
        <v/>
      </c>
      <c r="C142" s="157">
        <f>IF(D93="","-",+C141+1)</f>
        <v>2056</v>
      </c>
      <c r="D142" s="158">
        <f>IF(F141+SUM(E$99:E141)=D$92,F141,D$92-SUM(E$99:E141))</f>
        <v>78649</v>
      </c>
      <c r="E142" s="164">
        <f t="shared" si="15"/>
        <v>22512</v>
      </c>
      <c r="F142" s="163">
        <f t="shared" si="16"/>
        <v>56137</v>
      </c>
      <c r="G142" s="163">
        <f t="shared" si="17"/>
        <v>67393</v>
      </c>
      <c r="H142" s="167">
        <f t="shared" si="18"/>
        <v>31060.971981509872</v>
      </c>
      <c r="I142" s="317">
        <f t="shared" si="19"/>
        <v>31060.971981509872</v>
      </c>
      <c r="J142" s="162">
        <f t="shared" si="20"/>
        <v>0</v>
      </c>
      <c r="K142" s="162"/>
      <c r="L142" s="335"/>
      <c r="M142" s="162">
        <f t="shared" si="24"/>
        <v>0</v>
      </c>
      <c r="N142" s="335"/>
      <c r="O142" s="162">
        <f t="shared" si="25"/>
        <v>0</v>
      </c>
      <c r="P142" s="162">
        <f t="shared" si="26"/>
        <v>0</v>
      </c>
    </row>
    <row r="143" spans="2:16">
      <c r="B143" s="9" t="str">
        <f t="shared" si="14"/>
        <v/>
      </c>
      <c r="C143" s="157">
        <f>IF(D93="","-",+C142+1)</f>
        <v>2057</v>
      </c>
      <c r="D143" s="158">
        <f>IF(F142+SUM(E$99:E142)=D$92,F142,D$92-SUM(E$99:E142))</f>
        <v>56137</v>
      </c>
      <c r="E143" s="164">
        <f t="shared" si="15"/>
        <v>22512</v>
      </c>
      <c r="F143" s="163">
        <f t="shared" si="16"/>
        <v>33625</v>
      </c>
      <c r="G143" s="163">
        <f t="shared" si="17"/>
        <v>44881</v>
      </c>
      <c r="H143" s="167">
        <f t="shared" si="18"/>
        <v>28205.268017481707</v>
      </c>
      <c r="I143" s="317">
        <f t="shared" si="19"/>
        <v>28205.268017481707</v>
      </c>
      <c r="J143" s="162">
        <f t="shared" si="20"/>
        <v>0</v>
      </c>
      <c r="K143" s="162"/>
      <c r="L143" s="335"/>
      <c r="M143" s="162">
        <f t="shared" si="24"/>
        <v>0</v>
      </c>
      <c r="N143" s="335"/>
      <c r="O143" s="162">
        <f t="shared" si="25"/>
        <v>0</v>
      </c>
      <c r="P143" s="162">
        <f t="shared" si="26"/>
        <v>0</v>
      </c>
    </row>
    <row r="144" spans="2:16">
      <c r="B144" s="9" t="str">
        <f t="shared" si="14"/>
        <v/>
      </c>
      <c r="C144" s="157">
        <f>IF(D93="","-",+C143+1)</f>
        <v>2058</v>
      </c>
      <c r="D144" s="158">
        <f>IF(F143+SUM(E$99:E143)=D$92,F143,D$92-SUM(E$99:E143))</f>
        <v>33625</v>
      </c>
      <c r="E144" s="164">
        <f t="shared" si="15"/>
        <v>22512</v>
      </c>
      <c r="F144" s="163">
        <f t="shared" si="16"/>
        <v>11113</v>
      </c>
      <c r="G144" s="163">
        <f t="shared" si="17"/>
        <v>22369</v>
      </c>
      <c r="H144" s="167">
        <f t="shared" si="18"/>
        <v>25349.564053453538</v>
      </c>
      <c r="I144" s="317">
        <f t="shared" si="19"/>
        <v>25349.564053453538</v>
      </c>
      <c r="J144" s="162">
        <f t="shared" si="20"/>
        <v>0</v>
      </c>
      <c r="K144" s="162"/>
      <c r="L144" s="335"/>
      <c r="M144" s="162">
        <f t="shared" si="24"/>
        <v>0</v>
      </c>
      <c r="N144" s="335"/>
      <c r="O144" s="162">
        <f t="shared" si="25"/>
        <v>0</v>
      </c>
      <c r="P144" s="162">
        <f t="shared" si="26"/>
        <v>0</v>
      </c>
    </row>
    <row r="145" spans="2:16">
      <c r="B145" s="9" t="str">
        <f t="shared" si="14"/>
        <v/>
      </c>
      <c r="C145" s="157">
        <f>IF(D93="","-",+C144+1)</f>
        <v>2059</v>
      </c>
      <c r="D145" s="158">
        <f>IF(F144+SUM(E$99:E144)=D$92,F144,D$92-SUM(E$99:E144))</f>
        <v>11113</v>
      </c>
      <c r="E145" s="164">
        <f t="shared" si="15"/>
        <v>11113</v>
      </c>
      <c r="F145" s="163">
        <f t="shared" si="16"/>
        <v>0</v>
      </c>
      <c r="G145" s="163">
        <f t="shared" si="17"/>
        <v>5556.5</v>
      </c>
      <c r="H145" s="167">
        <f t="shared" si="18"/>
        <v>11817.856035719728</v>
      </c>
      <c r="I145" s="317">
        <f t="shared" si="19"/>
        <v>11817.856035719728</v>
      </c>
      <c r="J145" s="162">
        <f t="shared" si="20"/>
        <v>0</v>
      </c>
      <c r="K145" s="162"/>
      <c r="L145" s="335"/>
      <c r="M145" s="162">
        <f t="shared" si="24"/>
        <v>0</v>
      </c>
      <c r="N145" s="335"/>
      <c r="O145" s="162">
        <f t="shared" si="25"/>
        <v>0</v>
      </c>
      <c r="P145" s="162">
        <f t="shared" si="26"/>
        <v>0</v>
      </c>
    </row>
    <row r="146" spans="2:16">
      <c r="B146" s="9" t="str">
        <f t="shared" si="14"/>
        <v/>
      </c>
      <c r="C146" s="157">
        <f>IF(D93="","-",+C145+1)</f>
        <v>2060</v>
      </c>
      <c r="D146" s="158">
        <f>IF(F145+SUM(E$99:E145)=D$92,F145,D$92-SUM(E$99:E145))</f>
        <v>0</v>
      </c>
      <c r="E146" s="164">
        <f t="shared" si="15"/>
        <v>0</v>
      </c>
      <c r="F146" s="163">
        <f t="shared" si="16"/>
        <v>0</v>
      </c>
      <c r="G146" s="163">
        <f t="shared" si="17"/>
        <v>0</v>
      </c>
      <c r="H146" s="167">
        <f t="shared" si="18"/>
        <v>0</v>
      </c>
      <c r="I146" s="317">
        <f t="shared" si="19"/>
        <v>0</v>
      </c>
      <c r="J146" s="162">
        <f t="shared" si="20"/>
        <v>0</v>
      </c>
      <c r="K146" s="162"/>
      <c r="L146" s="335"/>
      <c r="M146" s="162">
        <f t="shared" si="24"/>
        <v>0</v>
      </c>
      <c r="N146" s="335"/>
      <c r="O146" s="162">
        <f t="shared" si="25"/>
        <v>0</v>
      </c>
      <c r="P146" s="162">
        <f t="shared" si="26"/>
        <v>0</v>
      </c>
    </row>
    <row r="147" spans="2:16">
      <c r="B147" s="9" t="str">
        <f t="shared" si="14"/>
        <v/>
      </c>
      <c r="C147" s="157">
        <f>IF(D93="","-",+C146+1)</f>
        <v>2061</v>
      </c>
      <c r="D147" s="158">
        <f>IF(F146+SUM(E$99:E146)=D$92,F146,D$92-SUM(E$99:E146))</f>
        <v>0</v>
      </c>
      <c r="E147" s="164">
        <f t="shared" si="15"/>
        <v>0</v>
      </c>
      <c r="F147" s="163">
        <f t="shared" si="16"/>
        <v>0</v>
      </c>
      <c r="G147" s="163">
        <f t="shared" si="17"/>
        <v>0</v>
      </c>
      <c r="H147" s="167">
        <f t="shared" si="18"/>
        <v>0</v>
      </c>
      <c r="I147" s="317">
        <f t="shared" si="19"/>
        <v>0</v>
      </c>
      <c r="J147" s="162">
        <f t="shared" si="20"/>
        <v>0</v>
      </c>
      <c r="K147" s="162"/>
      <c r="L147" s="335"/>
      <c r="M147" s="162">
        <f t="shared" si="24"/>
        <v>0</v>
      </c>
      <c r="N147" s="335"/>
      <c r="O147" s="162">
        <f t="shared" si="25"/>
        <v>0</v>
      </c>
      <c r="P147" s="162">
        <f t="shared" si="26"/>
        <v>0</v>
      </c>
    </row>
    <row r="148" spans="2:16">
      <c r="B148" s="9" t="str">
        <f t="shared" si="14"/>
        <v/>
      </c>
      <c r="C148" s="157">
        <f>IF(D93="","-",+C147+1)</f>
        <v>2062</v>
      </c>
      <c r="D148" s="158">
        <f>IF(F147+SUM(E$99:E147)=D$92,F147,D$92-SUM(E$99:E147))</f>
        <v>0</v>
      </c>
      <c r="E148" s="164">
        <f t="shared" si="15"/>
        <v>0</v>
      </c>
      <c r="F148" s="163">
        <f t="shared" si="16"/>
        <v>0</v>
      </c>
      <c r="G148" s="163">
        <f t="shared" si="17"/>
        <v>0</v>
      </c>
      <c r="H148" s="167">
        <f t="shared" si="18"/>
        <v>0</v>
      </c>
      <c r="I148" s="317">
        <f t="shared" si="19"/>
        <v>0</v>
      </c>
      <c r="J148" s="162">
        <f t="shared" si="20"/>
        <v>0</v>
      </c>
      <c r="K148" s="162"/>
      <c r="L148" s="335"/>
      <c r="M148" s="162">
        <f t="shared" si="24"/>
        <v>0</v>
      </c>
      <c r="N148" s="335"/>
      <c r="O148" s="162">
        <f t="shared" si="25"/>
        <v>0</v>
      </c>
      <c r="P148" s="162">
        <f t="shared" si="26"/>
        <v>0</v>
      </c>
    </row>
    <row r="149" spans="2:16">
      <c r="B149" s="9" t="str">
        <f t="shared" si="14"/>
        <v/>
      </c>
      <c r="C149" s="157">
        <f>IF(D93="","-",+C148+1)</f>
        <v>2063</v>
      </c>
      <c r="D149" s="158">
        <f>IF(F148+SUM(E$99:E148)=D$92,F148,D$92-SUM(E$99:E148))</f>
        <v>0</v>
      </c>
      <c r="E149" s="164">
        <f t="shared" si="15"/>
        <v>0</v>
      </c>
      <c r="F149" s="163">
        <f t="shared" si="16"/>
        <v>0</v>
      </c>
      <c r="G149" s="163">
        <f t="shared" si="17"/>
        <v>0</v>
      </c>
      <c r="H149" s="167">
        <f t="shared" si="18"/>
        <v>0</v>
      </c>
      <c r="I149" s="317">
        <f t="shared" si="19"/>
        <v>0</v>
      </c>
      <c r="J149" s="162">
        <f t="shared" si="20"/>
        <v>0</v>
      </c>
      <c r="K149" s="162"/>
      <c r="L149" s="335"/>
      <c r="M149" s="162">
        <f t="shared" si="24"/>
        <v>0</v>
      </c>
      <c r="N149" s="335"/>
      <c r="O149" s="162">
        <f t="shared" si="25"/>
        <v>0</v>
      </c>
      <c r="P149" s="162">
        <f t="shared" si="26"/>
        <v>0</v>
      </c>
    </row>
    <row r="150" spans="2:16">
      <c r="B150" s="9" t="str">
        <f t="shared" si="14"/>
        <v/>
      </c>
      <c r="C150" s="157">
        <f>IF(D93="","-",+C149+1)</f>
        <v>2064</v>
      </c>
      <c r="D150" s="158">
        <f>IF(F149+SUM(E$99:E149)=D$92,F149,D$92-SUM(E$99:E149))</f>
        <v>0</v>
      </c>
      <c r="E150" s="164">
        <f t="shared" si="15"/>
        <v>0</v>
      </c>
      <c r="F150" s="163">
        <f t="shared" si="16"/>
        <v>0</v>
      </c>
      <c r="G150" s="163">
        <f t="shared" si="17"/>
        <v>0</v>
      </c>
      <c r="H150" s="167">
        <f t="shared" si="18"/>
        <v>0</v>
      </c>
      <c r="I150" s="317">
        <f t="shared" si="19"/>
        <v>0</v>
      </c>
      <c r="J150" s="162">
        <f t="shared" si="20"/>
        <v>0</v>
      </c>
      <c r="K150" s="162"/>
      <c r="L150" s="335"/>
      <c r="M150" s="162">
        <f t="shared" si="24"/>
        <v>0</v>
      </c>
      <c r="N150" s="335"/>
      <c r="O150" s="162">
        <f t="shared" si="25"/>
        <v>0</v>
      </c>
      <c r="P150" s="162">
        <f t="shared" si="26"/>
        <v>0</v>
      </c>
    </row>
    <row r="151" spans="2:16">
      <c r="B151" s="9" t="str">
        <f t="shared" si="14"/>
        <v/>
      </c>
      <c r="C151" s="157">
        <f>IF(D93="","-",+C150+1)</f>
        <v>2065</v>
      </c>
      <c r="D151" s="158">
        <f>IF(F150+SUM(E$99:E150)=D$92,F150,D$92-SUM(E$99:E150))</f>
        <v>0</v>
      </c>
      <c r="E151" s="164">
        <f t="shared" si="15"/>
        <v>0</v>
      </c>
      <c r="F151" s="163">
        <f t="shared" si="16"/>
        <v>0</v>
      </c>
      <c r="G151" s="163">
        <f t="shared" si="17"/>
        <v>0</v>
      </c>
      <c r="H151" s="167">
        <f t="shared" si="18"/>
        <v>0</v>
      </c>
      <c r="I151" s="317">
        <f t="shared" si="19"/>
        <v>0</v>
      </c>
      <c r="J151" s="162">
        <f t="shared" si="20"/>
        <v>0</v>
      </c>
      <c r="K151" s="162"/>
      <c r="L151" s="335"/>
      <c r="M151" s="162">
        <f t="shared" si="24"/>
        <v>0</v>
      </c>
      <c r="N151" s="335"/>
      <c r="O151" s="162">
        <f t="shared" si="25"/>
        <v>0</v>
      </c>
      <c r="P151" s="162">
        <f t="shared" si="26"/>
        <v>0</v>
      </c>
    </row>
    <row r="152" spans="2:16">
      <c r="B152" s="9" t="str">
        <f t="shared" si="14"/>
        <v/>
      </c>
      <c r="C152" s="157">
        <f>IF(D93="","-",+C151+1)</f>
        <v>2066</v>
      </c>
      <c r="D152" s="158">
        <f>IF(F151+SUM(E$99:E151)=D$92,F151,D$92-SUM(E$99:E151))</f>
        <v>0</v>
      </c>
      <c r="E152" s="164">
        <f t="shared" si="15"/>
        <v>0</v>
      </c>
      <c r="F152" s="163">
        <f t="shared" si="16"/>
        <v>0</v>
      </c>
      <c r="G152" s="163">
        <f t="shared" si="17"/>
        <v>0</v>
      </c>
      <c r="H152" s="167">
        <f t="shared" si="18"/>
        <v>0</v>
      </c>
      <c r="I152" s="317">
        <f t="shared" si="19"/>
        <v>0</v>
      </c>
      <c r="J152" s="162">
        <f t="shared" si="20"/>
        <v>0</v>
      </c>
      <c r="K152" s="162"/>
      <c r="L152" s="335"/>
      <c r="M152" s="162">
        <f t="shared" si="24"/>
        <v>0</v>
      </c>
      <c r="N152" s="335"/>
      <c r="O152" s="162">
        <f t="shared" si="25"/>
        <v>0</v>
      </c>
      <c r="P152" s="162">
        <f t="shared" si="26"/>
        <v>0</v>
      </c>
    </row>
    <row r="153" spans="2:16">
      <c r="B153" s="9" t="str">
        <f t="shared" si="14"/>
        <v/>
      </c>
      <c r="C153" s="157">
        <f>IF(D93="","-",+C152+1)</f>
        <v>2067</v>
      </c>
      <c r="D153" s="158">
        <f>IF(F152+SUM(E$99:E152)=D$92,F152,D$92-SUM(E$99:E152))</f>
        <v>0</v>
      </c>
      <c r="E153" s="164">
        <f t="shared" si="15"/>
        <v>0</v>
      </c>
      <c r="F153" s="163">
        <f t="shared" si="16"/>
        <v>0</v>
      </c>
      <c r="G153" s="163">
        <f t="shared" si="17"/>
        <v>0</v>
      </c>
      <c r="H153" s="167">
        <f t="shared" si="18"/>
        <v>0</v>
      </c>
      <c r="I153" s="317">
        <f t="shared" si="19"/>
        <v>0</v>
      </c>
      <c r="J153" s="162">
        <f t="shared" si="20"/>
        <v>0</v>
      </c>
      <c r="K153" s="162"/>
      <c r="L153" s="335"/>
      <c r="M153" s="162">
        <f t="shared" si="24"/>
        <v>0</v>
      </c>
      <c r="N153" s="335"/>
      <c r="O153" s="162">
        <f t="shared" si="25"/>
        <v>0</v>
      </c>
      <c r="P153" s="162">
        <f t="shared" si="26"/>
        <v>0</v>
      </c>
    </row>
    <row r="154" spans="2:16" ht="13.5" thickBot="1">
      <c r="B154" s="9" t="str">
        <f t="shared" si="14"/>
        <v/>
      </c>
      <c r="C154" s="168">
        <f>IF(D93="","-",+C153+1)</f>
        <v>2068</v>
      </c>
      <c r="D154" s="158">
        <f>IF(F153+SUM(E$99:E153)=D$92,F153,D$92-SUM(E$99:E153))</f>
        <v>0</v>
      </c>
      <c r="E154" s="164">
        <f t="shared" si="15"/>
        <v>0</v>
      </c>
      <c r="F154" s="163">
        <f t="shared" si="16"/>
        <v>0</v>
      </c>
      <c r="G154" s="163">
        <f t="shared" si="17"/>
        <v>0</v>
      </c>
      <c r="H154" s="167">
        <f t="shared" si="18"/>
        <v>0</v>
      </c>
      <c r="I154" s="317">
        <f t="shared" si="19"/>
        <v>0</v>
      </c>
      <c r="J154" s="162">
        <f t="shared" si="20"/>
        <v>0</v>
      </c>
      <c r="K154" s="162"/>
      <c r="L154" s="336"/>
      <c r="M154" s="173">
        <f t="shared" si="24"/>
        <v>0</v>
      </c>
      <c r="N154" s="336"/>
      <c r="O154" s="173">
        <f t="shared" si="25"/>
        <v>0</v>
      </c>
      <c r="P154" s="173">
        <f t="shared" si="26"/>
        <v>0</v>
      </c>
    </row>
    <row r="155" spans="2:16">
      <c r="C155" s="158" t="s">
        <v>72</v>
      </c>
      <c r="D155" s="115"/>
      <c r="E155" s="115">
        <f>SUM(E99:E154)</f>
        <v>1035552</v>
      </c>
      <c r="F155" s="115"/>
      <c r="G155" s="115"/>
      <c r="H155" s="115">
        <f>SUM(H99:H154)</f>
        <v>4089098.5639759428</v>
      </c>
      <c r="I155" s="115">
        <f>SUM(I99:I154)</f>
        <v>4089098.5639759428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9" priority="1" stopIfTrue="1" operator="equal">
      <formula>$I$10</formula>
    </cfRule>
  </conditionalFormatting>
  <conditionalFormatting sqref="C99:C154">
    <cfRule type="cellIs" dxfId="28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P162"/>
  <sheetViews>
    <sheetView view="pageBreakPreview" zoomScale="80" zoomScaleNormal="100" zoomScaleSheetLayoutView="8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15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286221.77863511298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286221.77863511298</v>
      </c>
      <c r="O6" s="1"/>
      <c r="P6" s="1"/>
    </row>
    <row r="7" spans="1:16" ht="13.5" thickBot="1">
      <c r="C7" s="127" t="s">
        <v>41</v>
      </c>
      <c r="D7" s="227" t="s">
        <v>243</v>
      </c>
      <c r="E7" s="406"/>
      <c r="F7" s="406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242</v>
      </c>
      <c r="E9" s="428" t="s">
        <v>251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2246628.5699999998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2014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2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56165.714249999997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2014</v>
      </c>
      <c r="D17" s="436">
        <v>2295000</v>
      </c>
      <c r="E17" s="441">
        <v>36778.846153846156</v>
      </c>
      <c r="F17" s="436">
        <v>2258221.153846154</v>
      </c>
      <c r="G17" s="441">
        <v>347642.78736560291</v>
      </c>
      <c r="H17" s="439">
        <v>347642.78736560291</v>
      </c>
      <c r="I17" s="160">
        <v>0</v>
      </c>
      <c r="J17" s="160"/>
      <c r="K17" s="338">
        <f>G17</f>
        <v>347642.78736560291</v>
      </c>
      <c r="L17" s="440">
        <f>IF(K17&lt;&gt;0,+G17-K17,0)</f>
        <v>0</v>
      </c>
      <c r="M17" s="338">
        <f>H17</f>
        <v>347642.78736560291</v>
      </c>
      <c r="N17" s="162">
        <f>IF(M17&lt;&gt;0,+H17-M17,0)</f>
        <v>0</v>
      </c>
      <c r="O17" s="160">
        <f>+N17-L17</f>
        <v>0</v>
      </c>
      <c r="P17" s="4"/>
    </row>
    <row r="18" spans="2:16">
      <c r="B18" s="9" t="str">
        <f>IF(D18=F17,"","IU")</f>
        <v/>
      </c>
      <c r="C18" s="157">
        <f>IF(D11="","-",+C17+1)</f>
        <v>2015</v>
      </c>
      <c r="D18" s="436">
        <v>2258221.153846154</v>
      </c>
      <c r="E18" s="437">
        <v>43204.395576923074</v>
      </c>
      <c r="F18" s="436">
        <v>2215016.7582692308</v>
      </c>
      <c r="G18" s="437">
        <v>348592.42580485216</v>
      </c>
      <c r="H18" s="439">
        <v>348592.42580485216</v>
      </c>
      <c r="I18" s="160">
        <v>0</v>
      </c>
      <c r="J18" s="160"/>
      <c r="K18" s="338">
        <f>G18</f>
        <v>348592.42580485216</v>
      </c>
      <c r="L18" s="440">
        <f>IF(K18&lt;&gt;0,+G18-K18,0)</f>
        <v>0</v>
      </c>
      <c r="M18" s="338">
        <f>H18</f>
        <v>348592.42580485216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2016</v>
      </c>
      <c r="D19" s="436">
        <v>2166645.3282692307</v>
      </c>
      <c r="E19" s="437">
        <v>43204.395576923074</v>
      </c>
      <c r="F19" s="436">
        <v>2123440.9326923075</v>
      </c>
      <c r="G19" s="437">
        <v>321714.3955769231</v>
      </c>
      <c r="H19" s="439">
        <v>321714.3955769231</v>
      </c>
      <c r="I19" s="160">
        <f>H19-G19</f>
        <v>0</v>
      </c>
      <c r="J19" s="160"/>
      <c r="K19" s="338">
        <f>G19</f>
        <v>321714.3955769231</v>
      </c>
      <c r="L19" s="440">
        <f>IF(K19&lt;&gt;0,+G19-K19,0)</f>
        <v>0</v>
      </c>
      <c r="M19" s="338">
        <f>H19</f>
        <v>321714.3955769231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0">IF(D20=F19,"","IU")</f>
        <v/>
      </c>
      <c r="C20" s="157">
        <f>IF(D11="","-",+C19+1)</f>
        <v>2017</v>
      </c>
      <c r="D20" s="436">
        <v>2123440.9326923075</v>
      </c>
      <c r="E20" s="437">
        <v>48839.751521739126</v>
      </c>
      <c r="F20" s="436">
        <v>2074601.1811705683</v>
      </c>
      <c r="G20" s="437">
        <v>312854.75152173912</v>
      </c>
      <c r="H20" s="439">
        <v>312854.75152173912</v>
      </c>
      <c r="I20" s="160">
        <v>0</v>
      </c>
      <c r="J20" s="160"/>
      <c r="K20" s="338">
        <f>G20</f>
        <v>312854.75152173912</v>
      </c>
      <c r="L20" s="440">
        <f>IF(K20&lt;&gt;0,+G20-K20,0)</f>
        <v>0</v>
      </c>
      <c r="M20" s="338">
        <f>H20</f>
        <v>312854.75152173912</v>
      </c>
      <c r="N20" s="162">
        <f>IF(M20&lt;&gt;0,+H20-M20,0)</f>
        <v>0</v>
      </c>
      <c r="O20" s="160">
        <f>+N20-L20</f>
        <v>0</v>
      </c>
      <c r="P20" s="4"/>
    </row>
    <row r="21" spans="2:16">
      <c r="B21" s="9" t="str">
        <f t="shared" si="0"/>
        <v/>
      </c>
      <c r="C21" s="157">
        <f>IF(D11="","-",+C20+1)</f>
        <v>2018</v>
      </c>
      <c r="D21" s="436">
        <v>2074601.1811705683</v>
      </c>
      <c r="E21" s="437">
        <v>49925.079333333328</v>
      </c>
      <c r="F21" s="436">
        <v>2024676.101837235</v>
      </c>
      <c r="G21" s="437">
        <v>295387.63187355472</v>
      </c>
      <c r="H21" s="439">
        <v>295387.63187355472</v>
      </c>
      <c r="I21" s="160">
        <f t="shared" ref="I21:I72" si="1">H21-G21</f>
        <v>0</v>
      </c>
      <c r="J21" s="160"/>
      <c r="K21" s="338">
        <f>G21</f>
        <v>295387.63187355472</v>
      </c>
      <c r="L21" s="440">
        <f>IF(K21&lt;&gt;0,+G21-K21,0)</f>
        <v>0</v>
      </c>
      <c r="M21" s="338">
        <f>H21</f>
        <v>295387.63187355472</v>
      </c>
      <c r="N21" s="162">
        <f>IF(M21&lt;&gt;0,+H21-M21,0)</f>
        <v>0</v>
      </c>
      <c r="O21" s="160">
        <f>+N21-L21</f>
        <v>0</v>
      </c>
      <c r="P21" s="4"/>
    </row>
    <row r="22" spans="2:16">
      <c r="B22" s="9" t="str">
        <f t="shared" si="0"/>
        <v/>
      </c>
      <c r="C22" s="157">
        <f>IF(D11="","-",+C21+1)</f>
        <v>2019</v>
      </c>
      <c r="D22" s="163">
        <f>IF(F21+SUM(E$17:E21)=D$10,F21,D$10-SUM(E$17:E21))</f>
        <v>2024676.101837235</v>
      </c>
      <c r="E22" s="164">
        <f t="shared" ref="E22:E72" si="2">IF(+$I$14&lt;F21,$I$14,D22)</f>
        <v>56165.714249999997</v>
      </c>
      <c r="F22" s="163">
        <f t="shared" ref="F22:F72" si="3">+D22-E22</f>
        <v>1968510.3875872351</v>
      </c>
      <c r="G22" s="165">
        <f t="shared" ref="G22:G72" si="4">(D22+F22)/2*I$12+E22</f>
        <v>286221.77863511298</v>
      </c>
      <c r="H22" s="147">
        <f t="shared" ref="H22:H72" si="5">+(D22+F22)/2*I$13+E22</f>
        <v>286221.77863511298</v>
      </c>
      <c r="I22" s="160">
        <f t="shared" si="1"/>
        <v>0</v>
      </c>
      <c r="J22" s="160"/>
      <c r="K22" s="335"/>
      <c r="L22" s="162">
        <f t="shared" ref="L22:L72" si="6">IF(K22&lt;&gt;0,+G22-K22,0)</f>
        <v>0</v>
      </c>
      <c r="M22" s="335"/>
      <c r="N22" s="162">
        <f t="shared" ref="N22:N72" si="7">IF(M22&lt;&gt;0,+H22-M22,0)</f>
        <v>0</v>
      </c>
      <c r="O22" s="162">
        <f t="shared" ref="O22:O72" si="8">+N22-L22</f>
        <v>0</v>
      </c>
      <c r="P22" s="4"/>
    </row>
    <row r="23" spans="2:16">
      <c r="B23" s="9" t="str">
        <f t="shared" si="0"/>
        <v/>
      </c>
      <c r="C23" s="157">
        <f>IF(D11="","-",+C22+1)</f>
        <v>2020</v>
      </c>
      <c r="D23" s="163">
        <f>IF(F22+SUM(E$17:E22)=D$10,F22,D$10-SUM(E$17:E22))</f>
        <v>1968510.3875872351</v>
      </c>
      <c r="E23" s="164">
        <f t="shared" si="2"/>
        <v>56165.714249999997</v>
      </c>
      <c r="F23" s="163">
        <f t="shared" si="3"/>
        <v>1912344.6733372351</v>
      </c>
      <c r="G23" s="165">
        <f t="shared" si="4"/>
        <v>279750.12337535771</v>
      </c>
      <c r="H23" s="147">
        <f t="shared" si="5"/>
        <v>279750.12337535771</v>
      </c>
      <c r="I23" s="160">
        <f t="shared" si="1"/>
        <v>0</v>
      </c>
      <c r="J23" s="160"/>
      <c r="K23" s="335"/>
      <c r="L23" s="162">
        <f t="shared" si="6"/>
        <v>0</v>
      </c>
      <c r="M23" s="335"/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0"/>
        <v/>
      </c>
      <c r="C24" s="157">
        <f>IF(D11="","-",+C23+1)</f>
        <v>2021</v>
      </c>
      <c r="D24" s="163">
        <f>IF(F23+SUM(E$17:E23)=D$10,F23,D$10-SUM(E$17:E23))</f>
        <v>1912344.6733372351</v>
      </c>
      <c r="E24" s="164">
        <f t="shared" si="2"/>
        <v>56165.714249999997</v>
      </c>
      <c r="F24" s="163">
        <f t="shared" si="3"/>
        <v>1856178.9590872352</v>
      </c>
      <c r="G24" s="165">
        <f t="shared" si="4"/>
        <v>273278.46811560239</v>
      </c>
      <c r="H24" s="147">
        <f t="shared" si="5"/>
        <v>273278.46811560239</v>
      </c>
      <c r="I24" s="160">
        <f t="shared" si="1"/>
        <v>0</v>
      </c>
      <c r="J24" s="160"/>
      <c r="K24" s="335"/>
      <c r="L24" s="162">
        <f t="shared" si="6"/>
        <v>0</v>
      </c>
      <c r="M24" s="335"/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0"/>
        <v/>
      </c>
      <c r="C25" s="157">
        <f>IF(D11="","-",+C24+1)</f>
        <v>2022</v>
      </c>
      <c r="D25" s="163">
        <f>IF(F24+SUM(E$17:E24)=D$10,F24,D$10-SUM(E$17:E24))</f>
        <v>1856178.9590872352</v>
      </c>
      <c r="E25" s="164">
        <f t="shared" si="2"/>
        <v>56165.714249999997</v>
      </c>
      <c r="F25" s="163">
        <f t="shared" si="3"/>
        <v>1800013.2448372352</v>
      </c>
      <c r="G25" s="165">
        <f t="shared" si="4"/>
        <v>266806.81285584712</v>
      </c>
      <c r="H25" s="147">
        <f t="shared" si="5"/>
        <v>266806.81285584712</v>
      </c>
      <c r="I25" s="160">
        <f t="shared" si="1"/>
        <v>0</v>
      </c>
      <c r="J25" s="160"/>
      <c r="K25" s="335"/>
      <c r="L25" s="162">
        <f t="shared" si="6"/>
        <v>0</v>
      </c>
      <c r="M25" s="335"/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0"/>
        <v/>
      </c>
      <c r="C26" s="157">
        <f>IF(D11="","-",+C25+1)</f>
        <v>2023</v>
      </c>
      <c r="D26" s="163">
        <f>IF(F25+SUM(E$17:E25)=D$10,F25,D$10-SUM(E$17:E25))</f>
        <v>1800013.2448372352</v>
      </c>
      <c r="E26" s="164">
        <f t="shared" si="2"/>
        <v>56165.714249999997</v>
      </c>
      <c r="F26" s="163">
        <f t="shared" si="3"/>
        <v>1743847.5305872352</v>
      </c>
      <c r="G26" s="165">
        <f t="shared" si="4"/>
        <v>260335.15759609174</v>
      </c>
      <c r="H26" s="147">
        <f t="shared" si="5"/>
        <v>260335.15759609174</v>
      </c>
      <c r="I26" s="160">
        <f t="shared" si="1"/>
        <v>0</v>
      </c>
      <c r="J26" s="160"/>
      <c r="K26" s="335"/>
      <c r="L26" s="162">
        <f t="shared" si="6"/>
        <v>0</v>
      </c>
      <c r="M26" s="335"/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0"/>
        <v/>
      </c>
      <c r="C27" s="157">
        <f>IF(D11="","-",+C26+1)</f>
        <v>2024</v>
      </c>
      <c r="D27" s="163">
        <f>IF(F26+SUM(E$17:E26)=D$10,F26,D$10-SUM(E$17:E26))</f>
        <v>1743847.5305872352</v>
      </c>
      <c r="E27" s="164">
        <f t="shared" si="2"/>
        <v>56165.714249999997</v>
      </c>
      <c r="F27" s="163">
        <f t="shared" si="3"/>
        <v>1687681.8163372353</v>
      </c>
      <c r="G27" s="165">
        <f t="shared" si="4"/>
        <v>253863.50233633647</v>
      </c>
      <c r="H27" s="147">
        <f t="shared" si="5"/>
        <v>253863.50233633647</v>
      </c>
      <c r="I27" s="160">
        <f t="shared" si="1"/>
        <v>0</v>
      </c>
      <c r="J27" s="160"/>
      <c r="K27" s="335"/>
      <c r="L27" s="162">
        <f t="shared" si="6"/>
        <v>0</v>
      </c>
      <c r="M27" s="335"/>
      <c r="N27" s="162">
        <f t="shared" si="7"/>
        <v>0</v>
      </c>
      <c r="O27" s="162">
        <f t="shared" si="8"/>
        <v>0</v>
      </c>
      <c r="P27" s="4"/>
    </row>
    <row r="28" spans="2:16">
      <c r="B28" s="9" t="str">
        <f t="shared" si="0"/>
        <v/>
      </c>
      <c r="C28" s="157">
        <f>IF(D11="","-",+C27+1)</f>
        <v>2025</v>
      </c>
      <c r="D28" s="163">
        <f>IF(F27+SUM(E$17:E27)=D$10,F27,D$10-SUM(E$17:E27))</f>
        <v>1687681.8163372353</v>
      </c>
      <c r="E28" s="164">
        <f t="shared" si="2"/>
        <v>56165.714249999997</v>
      </c>
      <c r="F28" s="163">
        <f t="shared" si="3"/>
        <v>1631516.1020872353</v>
      </c>
      <c r="G28" s="165">
        <f t="shared" si="4"/>
        <v>247391.84707658115</v>
      </c>
      <c r="H28" s="147">
        <f t="shared" si="5"/>
        <v>247391.84707658115</v>
      </c>
      <c r="I28" s="160">
        <f t="shared" si="1"/>
        <v>0</v>
      </c>
      <c r="J28" s="160"/>
      <c r="K28" s="335"/>
      <c r="L28" s="162">
        <f t="shared" si="6"/>
        <v>0</v>
      </c>
      <c r="M28" s="335"/>
      <c r="N28" s="162">
        <f t="shared" si="7"/>
        <v>0</v>
      </c>
      <c r="O28" s="162">
        <f t="shared" si="8"/>
        <v>0</v>
      </c>
      <c r="P28" s="4"/>
    </row>
    <row r="29" spans="2:16">
      <c r="B29" s="9" t="str">
        <f t="shared" si="0"/>
        <v/>
      </c>
      <c r="C29" s="157">
        <f>IF(D11="","-",+C28+1)</f>
        <v>2026</v>
      </c>
      <c r="D29" s="163">
        <f>IF(F28+SUM(E$17:E28)=D$10,F28,D$10-SUM(E$17:E28))</f>
        <v>1631516.1020872353</v>
      </c>
      <c r="E29" s="164">
        <f t="shared" si="2"/>
        <v>56165.714249999997</v>
      </c>
      <c r="F29" s="163">
        <f t="shared" si="3"/>
        <v>1575350.3878372354</v>
      </c>
      <c r="G29" s="165">
        <f t="shared" si="4"/>
        <v>240920.19181682586</v>
      </c>
      <c r="H29" s="147">
        <f t="shared" si="5"/>
        <v>240920.19181682586</v>
      </c>
      <c r="I29" s="160">
        <f t="shared" si="1"/>
        <v>0</v>
      </c>
      <c r="J29" s="160"/>
      <c r="K29" s="335"/>
      <c r="L29" s="162">
        <f t="shared" si="6"/>
        <v>0</v>
      </c>
      <c r="M29" s="335"/>
      <c r="N29" s="162">
        <f t="shared" si="7"/>
        <v>0</v>
      </c>
      <c r="O29" s="162">
        <f t="shared" si="8"/>
        <v>0</v>
      </c>
      <c r="P29" s="4"/>
    </row>
    <row r="30" spans="2:16">
      <c r="B30" s="9" t="str">
        <f t="shared" si="0"/>
        <v/>
      </c>
      <c r="C30" s="157">
        <f>IF(D11="","-",+C29+1)</f>
        <v>2027</v>
      </c>
      <c r="D30" s="163">
        <f>IF(F29+SUM(E$17:E29)=D$10,F29,D$10-SUM(E$17:E29))</f>
        <v>1575350.3878372354</v>
      </c>
      <c r="E30" s="164">
        <f t="shared" si="2"/>
        <v>56165.714249999997</v>
      </c>
      <c r="F30" s="163">
        <f t="shared" si="3"/>
        <v>1519184.6735872354</v>
      </c>
      <c r="G30" s="165">
        <f t="shared" si="4"/>
        <v>234448.53655707053</v>
      </c>
      <c r="H30" s="147">
        <f t="shared" si="5"/>
        <v>234448.53655707053</v>
      </c>
      <c r="I30" s="160">
        <f t="shared" si="1"/>
        <v>0</v>
      </c>
      <c r="J30" s="160"/>
      <c r="K30" s="335"/>
      <c r="L30" s="162">
        <f t="shared" si="6"/>
        <v>0</v>
      </c>
      <c r="M30" s="335"/>
      <c r="N30" s="162">
        <f t="shared" si="7"/>
        <v>0</v>
      </c>
      <c r="O30" s="162">
        <f t="shared" si="8"/>
        <v>0</v>
      </c>
      <c r="P30" s="4"/>
    </row>
    <row r="31" spans="2:16">
      <c r="B31" s="9" t="str">
        <f t="shared" si="0"/>
        <v/>
      </c>
      <c r="C31" s="157">
        <f>IF(D11="","-",+C30+1)</f>
        <v>2028</v>
      </c>
      <c r="D31" s="163">
        <f>IF(F30+SUM(E$17:E30)=D$10,F30,D$10-SUM(E$17:E30))</f>
        <v>1519184.6735872354</v>
      </c>
      <c r="E31" s="164">
        <f t="shared" si="2"/>
        <v>56165.714249999997</v>
      </c>
      <c r="F31" s="163">
        <f t="shared" si="3"/>
        <v>1463018.9593372354</v>
      </c>
      <c r="G31" s="165">
        <f t="shared" si="4"/>
        <v>227976.88129731524</v>
      </c>
      <c r="H31" s="147">
        <f t="shared" si="5"/>
        <v>227976.88129731524</v>
      </c>
      <c r="I31" s="160">
        <f t="shared" si="1"/>
        <v>0</v>
      </c>
      <c r="J31" s="160"/>
      <c r="K31" s="335"/>
      <c r="L31" s="162">
        <f t="shared" si="6"/>
        <v>0</v>
      </c>
      <c r="M31" s="335"/>
      <c r="N31" s="162">
        <f t="shared" si="7"/>
        <v>0</v>
      </c>
      <c r="O31" s="162">
        <f t="shared" si="8"/>
        <v>0</v>
      </c>
      <c r="P31" s="4"/>
    </row>
    <row r="32" spans="2:16">
      <c r="B32" s="9" t="str">
        <f t="shared" si="0"/>
        <v/>
      </c>
      <c r="C32" s="157">
        <f>IF(D11="","-",+C31+1)</f>
        <v>2029</v>
      </c>
      <c r="D32" s="163">
        <f>IF(F31+SUM(E$17:E31)=D$10,F31,D$10-SUM(E$17:E31))</f>
        <v>1463018.9593372354</v>
      </c>
      <c r="E32" s="164">
        <f t="shared" si="2"/>
        <v>56165.714249999997</v>
      </c>
      <c r="F32" s="163">
        <f t="shared" si="3"/>
        <v>1406853.2450872355</v>
      </c>
      <c r="G32" s="165">
        <f t="shared" si="4"/>
        <v>221505.22603755991</v>
      </c>
      <c r="H32" s="147">
        <f t="shared" si="5"/>
        <v>221505.22603755991</v>
      </c>
      <c r="I32" s="160">
        <f t="shared" si="1"/>
        <v>0</v>
      </c>
      <c r="J32" s="160"/>
      <c r="K32" s="335"/>
      <c r="L32" s="162">
        <f t="shared" si="6"/>
        <v>0</v>
      </c>
      <c r="M32" s="335"/>
      <c r="N32" s="162">
        <f t="shared" si="7"/>
        <v>0</v>
      </c>
      <c r="O32" s="162">
        <f t="shared" si="8"/>
        <v>0</v>
      </c>
      <c r="P32" s="4"/>
    </row>
    <row r="33" spans="2:16">
      <c r="B33" s="9" t="str">
        <f t="shared" si="0"/>
        <v/>
      </c>
      <c r="C33" s="157">
        <f>IF(D11="","-",+C32+1)</f>
        <v>2030</v>
      </c>
      <c r="D33" s="163">
        <f>IF(F32+SUM(E$17:E32)=D$10,F32,D$10-SUM(E$17:E32))</f>
        <v>1406853.2450872355</v>
      </c>
      <c r="E33" s="164">
        <f t="shared" si="2"/>
        <v>56165.714249999997</v>
      </c>
      <c r="F33" s="163">
        <f t="shared" si="3"/>
        <v>1350687.5308372355</v>
      </c>
      <c r="G33" s="165">
        <f t="shared" si="4"/>
        <v>215033.57077780462</v>
      </c>
      <c r="H33" s="147">
        <f t="shared" si="5"/>
        <v>215033.57077780462</v>
      </c>
      <c r="I33" s="160">
        <f t="shared" si="1"/>
        <v>0</v>
      </c>
      <c r="J33" s="160"/>
      <c r="K33" s="335"/>
      <c r="L33" s="162">
        <f t="shared" si="6"/>
        <v>0</v>
      </c>
      <c r="M33" s="335"/>
      <c r="N33" s="162">
        <f t="shared" si="7"/>
        <v>0</v>
      </c>
      <c r="O33" s="162">
        <f t="shared" si="8"/>
        <v>0</v>
      </c>
      <c r="P33" s="4"/>
    </row>
    <row r="34" spans="2:16">
      <c r="B34" s="9" t="str">
        <f t="shared" si="0"/>
        <v/>
      </c>
      <c r="C34" s="157">
        <f>IF(D11="","-",+C33+1)</f>
        <v>2031</v>
      </c>
      <c r="D34" s="163">
        <f>IF(F33+SUM(E$17:E33)=D$10,F33,D$10-SUM(E$17:E33))</f>
        <v>1350687.5308372355</v>
      </c>
      <c r="E34" s="164">
        <f t="shared" si="2"/>
        <v>56165.714249999997</v>
      </c>
      <c r="F34" s="163">
        <f t="shared" si="3"/>
        <v>1294521.8165872355</v>
      </c>
      <c r="G34" s="165">
        <f t="shared" si="4"/>
        <v>208561.9155180493</v>
      </c>
      <c r="H34" s="147">
        <f t="shared" si="5"/>
        <v>208561.9155180493</v>
      </c>
      <c r="I34" s="160">
        <f t="shared" si="1"/>
        <v>0</v>
      </c>
      <c r="J34" s="160"/>
      <c r="K34" s="335"/>
      <c r="L34" s="162">
        <f t="shared" si="6"/>
        <v>0</v>
      </c>
      <c r="M34" s="335"/>
      <c r="N34" s="162">
        <f t="shared" si="7"/>
        <v>0</v>
      </c>
      <c r="O34" s="162">
        <f t="shared" si="8"/>
        <v>0</v>
      </c>
      <c r="P34" s="4"/>
    </row>
    <row r="35" spans="2:16">
      <c r="B35" s="9" t="str">
        <f t="shared" si="0"/>
        <v/>
      </c>
      <c r="C35" s="157">
        <f>IF(D11="","-",+C34+1)</f>
        <v>2032</v>
      </c>
      <c r="D35" s="163">
        <f>IF(F34+SUM(E$17:E34)=D$10,F34,D$10-SUM(E$17:E34))</f>
        <v>1294521.8165872355</v>
      </c>
      <c r="E35" s="164">
        <f t="shared" si="2"/>
        <v>56165.714249999997</v>
      </c>
      <c r="F35" s="163">
        <f t="shared" si="3"/>
        <v>1238356.1023372356</v>
      </c>
      <c r="G35" s="165">
        <f t="shared" si="4"/>
        <v>202090.26025829403</v>
      </c>
      <c r="H35" s="147">
        <f t="shared" si="5"/>
        <v>202090.26025829403</v>
      </c>
      <c r="I35" s="160">
        <f t="shared" si="1"/>
        <v>0</v>
      </c>
      <c r="J35" s="160"/>
      <c r="K35" s="335"/>
      <c r="L35" s="162">
        <f t="shared" si="6"/>
        <v>0</v>
      </c>
      <c r="M35" s="335"/>
      <c r="N35" s="162">
        <f t="shared" si="7"/>
        <v>0</v>
      </c>
      <c r="O35" s="162">
        <f t="shared" si="8"/>
        <v>0</v>
      </c>
      <c r="P35" s="4"/>
    </row>
    <row r="36" spans="2:16">
      <c r="B36" s="9" t="str">
        <f t="shared" si="0"/>
        <v/>
      </c>
      <c r="C36" s="157">
        <f>IF(D11="","-",+C35+1)</f>
        <v>2033</v>
      </c>
      <c r="D36" s="163">
        <f>IF(F35+SUM(E$17:E35)=D$10,F35,D$10-SUM(E$17:E35))</f>
        <v>1238356.1023372356</v>
      </c>
      <c r="E36" s="164">
        <f t="shared" si="2"/>
        <v>56165.714249999997</v>
      </c>
      <c r="F36" s="163">
        <f t="shared" si="3"/>
        <v>1182190.3880872356</v>
      </c>
      <c r="G36" s="165">
        <f t="shared" si="4"/>
        <v>195618.60499853868</v>
      </c>
      <c r="H36" s="147">
        <f t="shared" si="5"/>
        <v>195618.60499853868</v>
      </c>
      <c r="I36" s="160">
        <f t="shared" si="1"/>
        <v>0</v>
      </c>
      <c r="J36" s="160"/>
      <c r="K36" s="335"/>
      <c r="L36" s="162">
        <f t="shared" si="6"/>
        <v>0</v>
      </c>
      <c r="M36" s="335"/>
      <c r="N36" s="162">
        <f t="shared" si="7"/>
        <v>0</v>
      </c>
      <c r="O36" s="162">
        <f t="shared" si="8"/>
        <v>0</v>
      </c>
      <c r="P36" s="4"/>
    </row>
    <row r="37" spans="2:16">
      <c r="B37" s="9" t="str">
        <f t="shared" si="0"/>
        <v/>
      </c>
      <c r="C37" s="157">
        <f>IF(D11="","-",+C36+1)</f>
        <v>2034</v>
      </c>
      <c r="D37" s="163">
        <f>IF(F36+SUM(E$17:E36)=D$10,F36,D$10-SUM(E$17:E36))</f>
        <v>1182190.3880872356</v>
      </c>
      <c r="E37" s="164">
        <f t="shared" si="2"/>
        <v>56165.714249999997</v>
      </c>
      <c r="F37" s="163">
        <f t="shared" si="3"/>
        <v>1126024.6738372357</v>
      </c>
      <c r="G37" s="165">
        <f t="shared" si="4"/>
        <v>189146.94973878341</v>
      </c>
      <c r="H37" s="147">
        <f t="shared" si="5"/>
        <v>189146.94973878341</v>
      </c>
      <c r="I37" s="160">
        <f t="shared" si="1"/>
        <v>0</v>
      </c>
      <c r="J37" s="160"/>
      <c r="K37" s="335"/>
      <c r="L37" s="162">
        <f t="shared" si="6"/>
        <v>0</v>
      </c>
      <c r="M37" s="335"/>
      <c r="N37" s="162">
        <f t="shared" si="7"/>
        <v>0</v>
      </c>
      <c r="O37" s="162">
        <f t="shared" si="8"/>
        <v>0</v>
      </c>
      <c r="P37" s="4"/>
    </row>
    <row r="38" spans="2:16">
      <c r="B38" s="9" t="str">
        <f t="shared" si="0"/>
        <v/>
      </c>
      <c r="C38" s="157">
        <f>IF(D11="","-",+C37+1)</f>
        <v>2035</v>
      </c>
      <c r="D38" s="163">
        <f>IF(F37+SUM(E$17:E37)=D$10,F37,D$10-SUM(E$17:E37))</f>
        <v>1126024.6738372357</v>
      </c>
      <c r="E38" s="164">
        <f t="shared" si="2"/>
        <v>56165.714249999997</v>
      </c>
      <c r="F38" s="163">
        <f t="shared" si="3"/>
        <v>1069858.9595872357</v>
      </c>
      <c r="G38" s="165">
        <f t="shared" si="4"/>
        <v>182675.29447902809</v>
      </c>
      <c r="H38" s="147">
        <f t="shared" si="5"/>
        <v>182675.29447902809</v>
      </c>
      <c r="I38" s="160">
        <f t="shared" si="1"/>
        <v>0</v>
      </c>
      <c r="J38" s="160"/>
      <c r="K38" s="335"/>
      <c r="L38" s="162">
        <f t="shared" si="6"/>
        <v>0</v>
      </c>
      <c r="M38" s="335"/>
      <c r="N38" s="162">
        <f t="shared" si="7"/>
        <v>0</v>
      </c>
      <c r="O38" s="162">
        <f t="shared" si="8"/>
        <v>0</v>
      </c>
      <c r="P38" s="4"/>
    </row>
    <row r="39" spans="2:16">
      <c r="B39" s="9" t="str">
        <f t="shared" si="0"/>
        <v/>
      </c>
      <c r="C39" s="157">
        <f>IF(D11="","-",+C38+1)</f>
        <v>2036</v>
      </c>
      <c r="D39" s="163">
        <f>IF(F38+SUM(E$17:E38)=D$10,F38,D$10-SUM(E$17:E38))</f>
        <v>1069858.9595872357</v>
      </c>
      <c r="E39" s="164">
        <f t="shared" si="2"/>
        <v>56165.714249999997</v>
      </c>
      <c r="F39" s="163">
        <f t="shared" si="3"/>
        <v>1013693.2453372357</v>
      </c>
      <c r="G39" s="165">
        <f t="shared" si="4"/>
        <v>176203.63921927279</v>
      </c>
      <c r="H39" s="147">
        <f t="shared" si="5"/>
        <v>176203.63921927279</v>
      </c>
      <c r="I39" s="160">
        <f t="shared" si="1"/>
        <v>0</v>
      </c>
      <c r="J39" s="160"/>
      <c r="K39" s="335"/>
      <c r="L39" s="162">
        <f t="shared" si="6"/>
        <v>0</v>
      </c>
      <c r="M39" s="335"/>
      <c r="N39" s="162">
        <f t="shared" si="7"/>
        <v>0</v>
      </c>
      <c r="O39" s="162">
        <f t="shared" si="8"/>
        <v>0</v>
      </c>
      <c r="P39" s="4"/>
    </row>
    <row r="40" spans="2:16">
      <c r="B40" s="9" t="str">
        <f t="shared" si="0"/>
        <v/>
      </c>
      <c r="C40" s="157">
        <f>IF(D11="","-",+C39+1)</f>
        <v>2037</v>
      </c>
      <c r="D40" s="163">
        <f>IF(F39+SUM(E$17:E39)=D$10,F39,D$10-SUM(E$17:E39))</f>
        <v>1013693.2453372357</v>
      </c>
      <c r="E40" s="164">
        <f t="shared" si="2"/>
        <v>56165.714249999997</v>
      </c>
      <c r="F40" s="163">
        <f t="shared" si="3"/>
        <v>957527.53108723578</v>
      </c>
      <c r="G40" s="165">
        <f t="shared" si="4"/>
        <v>169731.98395951747</v>
      </c>
      <c r="H40" s="147">
        <f t="shared" si="5"/>
        <v>169731.98395951747</v>
      </c>
      <c r="I40" s="160">
        <f t="shared" si="1"/>
        <v>0</v>
      </c>
      <c r="J40" s="160"/>
      <c r="K40" s="335"/>
      <c r="L40" s="162">
        <f t="shared" si="6"/>
        <v>0</v>
      </c>
      <c r="M40" s="335"/>
      <c r="N40" s="162">
        <f t="shared" si="7"/>
        <v>0</v>
      </c>
      <c r="O40" s="162">
        <f t="shared" si="8"/>
        <v>0</v>
      </c>
      <c r="P40" s="4"/>
    </row>
    <row r="41" spans="2:16">
      <c r="B41" s="9" t="str">
        <f t="shared" si="0"/>
        <v/>
      </c>
      <c r="C41" s="157">
        <f>IF(D11="","-",+C40+1)</f>
        <v>2038</v>
      </c>
      <c r="D41" s="163">
        <f>IF(F40+SUM(E$17:E40)=D$10,F40,D$10-SUM(E$17:E40))</f>
        <v>957527.53108723578</v>
      </c>
      <c r="E41" s="164">
        <f t="shared" si="2"/>
        <v>56165.714249999997</v>
      </c>
      <c r="F41" s="163">
        <f t="shared" si="3"/>
        <v>901361.81683723582</v>
      </c>
      <c r="G41" s="165">
        <f t="shared" si="4"/>
        <v>163260.32869976218</v>
      </c>
      <c r="H41" s="147">
        <f t="shared" si="5"/>
        <v>163260.32869976218</v>
      </c>
      <c r="I41" s="160">
        <f t="shared" si="1"/>
        <v>0</v>
      </c>
      <c r="J41" s="160"/>
      <c r="K41" s="335"/>
      <c r="L41" s="162">
        <f t="shared" si="6"/>
        <v>0</v>
      </c>
      <c r="M41" s="335"/>
      <c r="N41" s="162">
        <f t="shared" si="7"/>
        <v>0</v>
      </c>
      <c r="O41" s="162">
        <f t="shared" si="8"/>
        <v>0</v>
      </c>
      <c r="P41" s="4"/>
    </row>
    <row r="42" spans="2:16">
      <c r="B42" s="9" t="str">
        <f t="shared" si="0"/>
        <v/>
      </c>
      <c r="C42" s="157">
        <f>IF(D11="","-",+C41+1)</f>
        <v>2039</v>
      </c>
      <c r="D42" s="163">
        <f>IF(F41+SUM(E$17:E41)=D$10,F41,D$10-SUM(E$17:E41))</f>
        <v>901361.81683723582</v>
      </c>
      <c r="E42" s="164">
        <f t="shared" si="2"/>
        <v>56165.714249999997</v>
      </c>
      <c r="F42" s="163">
        <f t="shared" si="3"/>
        <v>845196.10258723586</v>
      </c>
      <c r="G42" s="165">
        <f t="shared" si="4"/>
        <v>156788.67344000688</v>
      </c>
      <c r="H42" s="147">
        <f t="shared" si="5"/>
        <v>156788.67344000688</v>
      </c>
      <c r="I42" s="160">
        <f t="shared" si="1"/>
        <v>0</v>
      </c>
      <c r="J42" s="160"/>
      <c r="K42" s="335"/>
      <c r="L42" s="162">
        <f t="shared" si="6"/>
        <v>0</v>
      </c>
      <c r="M42" s="335"/>
      <c r="N42" s="162">
        <f t="shared" si="7"/>
        <v>0</v>
      </c>
      <c r="O42" s="162">
        <f t="shared" si="8"/>
        <v>0</v>
      </c>
      <c r="P42" s="4"/>
    </row>
    <row r="43" spans="2:16">
      <c r="B43" s="9" t="str">
        <f t="shared" si="0"/>
        <v/>
      </c>
      <c r="C43" s="157">
        <f>IF(D11="","-",+C42+1)</f>
        <v>2040</v>
      </c>
      <c r="D43" s="163">
        <f>IF(F42+SUM(E$17:E42)=D$10,F42,D$10-SUM(E$17:E42))</f>
        <v>845196.10258723586</v>
      </c>
      <c r="E43" s="164">
        <f t="shared" si="2"/>
        <v>56165.714249999997</v>
      </c>
      <c r="F43" s="163">
        <f t="shared" si="3"/>
        <v>789030.3883372359</v>
      </c>
      <c r="G43" s="165">
        <f t="shared" si="4"/>
        <v>150317.01818025156</v>
      </c>
      <c r="H43" s="147">
        <f t="shared" si="5"/>
        <v>150317.01818025156</v>
      </c>
      <c r="I43" s="160">
        <f t="shared" si="1"/>
        <v>0</v>
      </c>
      <c r="J43" s="160"/>
      <c r="K43" s="335"/>
      <c r="L43" s="162">
        <f t="shared" si="6"/>
        <v>0</v>
      </c>
      <c r="M43" s="335"/>
      <c r="N43" s="162">
        <f t="shared" si="7"/>
        <v>0</v>
      </c>
      <c r="O43" s="162">
        <f t="shared" si="8"/>
        <v>0</v>
      </c>
      <c r="P43" s="4"/>
    </row>
    <row r="44" spans="2:16">
      <c r="B44" s="9" t="str">
        <f t="shared" si="0"/>
        <v/>
      </c>
      <c r="C44" s="157">
        <f>IF(D11="","-",+C43+1)</f>
        <v>2041</v>
      </c>
      <c r="D44" s="163">
        <f>IF(F43+SUM(E$17:E43)=D$10,F43,D$10-SUM(E$17:E43))</f>
        <v>789030.3883372359</v>
      </c>
      <c r="E44" s="164">
        <f t="shared" si="2"/>
        <v>56165.714249999997</v>
      </c>
      <c r="F44" s="163">
        <f t="shared" si="3"/>
        <v>732864.67408723594</v>
      </c>
      <c r="G44" s="165">
        <f t="shared" si="4"/>
        <v>143845.36292049626</v>
      </c>
      <c r="H44" s="147">
        <f t="shared" si="5"/>
        <v>143845.36292049626</v>
      </c>
      <c r="I44" s="160">
        <f t="shared" si="1"/>
        <v>0</v>
      </c>
      <c r="J44" s="160"/>
      <c r="K44" s="335"/>
      <c r="L44" s="162">
        <f t="shared" si="6"/>
        <v>0</v>
      </c>
      <c r="M44" s="335"/>
      <c r="N44" s="162">
        <f t="shared" si="7"/>
        <v>0</v>
      </c>
      <c r="O44" s="162">
        <f t="shared" si="8"/>
        <v>0</v>
      </c>
      <c r="P44" s="4"/>
    </row>
    <row r="45" spans="2:16">
      <c r="B45" s="9" t="str">
        <f t="shared" si="0"/>
        <v/>
      </c>
      <c r="C45" s="157">
        <f>IF(D11="","-",+C44+1)</f>
        <v>2042</v>
      </c>
      <c r="D45" s="163">
        <f>IF(F44+SUM(E$17:E44)=D$10,F44,D$10-SUM(E$17:E44))</f>
        <v>732864.67408723594</v>
      </c>
      <c r="E45" s="164">
        <f t="shared" si="2"/>
        <v>56165.714249999997</v>
      </c>
      <c r="F45" s="163">
        <f t="shared" si="3"/>
        <v>676698.95983723598</v>
      </c>
      <c r="G45" s="165">
        <f t="shared" si="4"/>
        <v>137373.70766074094</v>
      </c>
      <c r="H45" s="147">
        <f t="shared" si="5"/>
        <v>137373.70766074094</v>
      </c>
      <c r="I45" s="160">
        <f t="shared" si="1"/>
        <v>0</v>
      </c>
      <c r="J45" s="160"/>
      <c r="K45" s="335"/>
      <c r="L45" s="162">
        <f t="shared" si="6"/>
        <v>0</v>
      </c>
      <c r="M45" s="335"/>
      <c r="N45" s="162">
        <f t="shared" si="7"/>
        <v>0</v>
      </c>
      <c r="O45" s="162">
        <f t="shared" si="8"/>
        <v>0</v>
      </c>
      <c r="P45" s="4"/>
    </row>
    <row r="46" spans="2:16">
      <c r="B46" s="9" t="str">
        <f t="shared" si="0"/>
        <v/>
      </c>
      <c r="C46" s="157">
        <f>IF(D11="","-",+C45+1)</f>
        <v>2043</v>
      </c>
      <c r="D46" s="163">
        <f>IF(F45+SUM(E$17:E45)=D$10,F45,D$10-SUM(E$17:E45))</f>
        <v>676698.95983723598</v>
      </c>
      <c r="E46" s="164">
        <f t="shared" si="2"/>
        <v>56165.714249999997</v>
      </c>
      <c r="F46" s="163">
        <f t="shared" si="3"/>
        <v>620533.24558723602</v>
      </c>
      <c r="G46" s="165">
        <f t="shared" si="4"/>
        <v>130902.05240098565</v>
      </c>
      <c r="H46" s="147">
        <f t="shared" si="5"/>
        <v>130902.05240098565</v>
      </c>
      <c r="I46" s="160">
        <f t="shared" si="1"/>
        <v>0</v>
      </c>
      <c r="J46" s="160"/>
      <c r="K46" s="335"/>
      <c r="L46" s="162">
        <f t="shared" si="6"/>
        <v>0</v>
      </c>
      <c r="M46" s="335"/>
      <c r="N46" s="162">
        <f t="shared" si="7"/>
        <v>0</v>
      </c>
      <c r="O46" s="162">
        <f t="shared" si="8"/>
        <v>0</v>
      </c>
      <c r="P46" s="4"/>
    </row>
    <row r="47" spans="2:16">
      <c r="B47" s="9" t="str">
        <f t="shared" si="0"/>
        <v/>
      </c>
      <c r="C47" s="157">
        <f>IF(D11="","-",+C46+1)</f>
        <v>2044</v>
      </c>
      <c r="D47" s="163">
        <f>IF(F46+SUM(E$17:E46)=D$10,F46,D$10-SUM(E$17:E46))</f>
        <v>620533.24558723602</v>
      </c>
      <c r="E47" s="164">
        <f t="shared" si="2"/>
        <v>56165.714249999997</v>
      </c>
      <c r="F47" s="163">
        <f t="shared" si="3"/>
        <v>564367.53133723605</v>
      </c>
      <c r="G47" s="165">
        <f t="shared" si="4"/>
        <v>124430.39714123035</v>
      </c>
      <c r="H47" s="147">
        <f t="shared" si="5"/>
        <v>124430.39714123035</v>
      </c>
      <c r="I47" s="160">
        <f t="shared" si="1"/>
        <v>0</v>
      </c>
      <c r="J47" s="160"/>
      <c r="K47" s="335"/>
      <c r="L47" s="162">
        <f t="shared" si="6"/>
        <v>0</v>
      </c>
      <c r="M47" s="335"/>
      <c r="N47" s="162">
        <f t="shared" si="7"/>
        <v>0</v>
      </c>
      <c r="O47" s="162">
        <f t="shared" si="8"/>
        <v>0</v>
      </c>
      <c r="P47" s="4"/>
    </row>
    <row r="48" spans="2:16">
      <c r="B48" s="9" t="str">
        <f t="shared" si="0"/>
        <v/>
      </c>
      <c r="C48" s="157">
        <f>IF(D11="","-",+C47+1)</f>
        <v>2045</v>
      </c>
      <c r="D48" s="163">
        <f>IF(F47+SUM(E$17:E47)=D$10,F47,D$10-SUM(E$17:E47))</f>
        <v>564367.53133723605</v>
      </c>
      <c r="E48" s="164">
        <f t="shared" si="2"/>
        <v>56165.714249999997</v>
      </c>
      <c r="F48" s="163">
        <f t="shared" si="3"/>
        <v>508201.81708723604</v>
      </c>
      <c r="G48" s="165">
        <f t="shared" si="4"/>
        <v>117958.74188147503</v>
      </c>
      <c r="H48" s="147">
        <f t="shared" si="5"/>
        <v>117958.74188147503</v>
      </c>
      <c r="I48" s="160">
        <f t="shared" si="1"/>
        <v>0</v>
      </c>
      <c r="J48" s="160"/>
      <c r="K48" s="335"/>
      <c r="L48" s="162">
        <f t="shared" si="6"/>
        <v>0</v>
      </c>
      <c r="M48" s="335"/>
      <c r="N48" s="162">
        <f t="shared" si="7"/>
        <v>0</v>
      </c>
      <c r="O48" s="162">
        <f t="shared" si="8"/>
        <v>0</v>
      </c>
      <c r="P48" s="4"/>
    </row>
    <row r="49" spans="2:16">
      <c r="B49" s="9" t="str">
        <f t="shared" si="0"/>
        <v/>
      </c>
      <c r="C49" s="157">
        <f>IF(D11="","-",+C48+1)</f>
        <v>2046</v>
      </c>
      <c r="D49" s="163">
        <f>IF(F48+SUM(E$17:E48)=D$10,F48,D$10-SUM(E$17:E48))</f>
        <v>508201.81708723604</v>
      </c>
      <c r="E49" s="164">
        <f t="shared" si="2"/>
        <v>56165.714249999997</v>
      </c>
      <c r="F49" s="163">
        <f t="shared" si="3"/>
        <v>452036.10283723602</v>
      </c>
      <c r="G49" s="165">
        <f t="shared" si="4"/>
        <v>111487.0866217197</v>
      </c>
      <c r="H49" s="147">
        <f t="shared" si="5"/>
        <v>111487.0866217197</v>
      </c>
      <c r="I49" s="160">
        <f t="shared" si="1"/>
        <v>0</v>
      </c>
      <c r="J49" s="160"/>
      <c r="K49" s="335"/>
      <c r="L49" s="162">
        <f t="shared" si="6"/>
        <v>0</v>
      </c>
      <c r="M49" s="335"/>
      <c r="N49" s="162">
        <f t="shared" si="7"/>
        <v>0</v>
      </c>
      <c r="O49" s="162">
        <f t="shared" si="8"/>
        <v>0</v>
      </c>
      <c r="P49" s="4"/>
    </row>
    <row r="50" spans="2:16">
      <c r="B50" s="9" t="str">
        <f t="shared" si="0"/>
        <v/>
      </c>
      <c r="C50" s="157">
        <f>IF(D11="","-",+C49+1)</f>
        <v>2047</v>
      </c>
      <c r="D50" s="163">
        <f>IF(F49+SUM(E$17:E49)=D$10,F49,D$10-SUM(E$17:E49))</f>
        <v>452036.10283723602</v>
      </c>
      <c r="E50" s="164">
        <f t="shared" si="2"/>
        <v>56165.714249999997</v>
      </c>
      <c r="F50" s="163">
        <f t="shared" si="3"/>
        <v>395870.388587236</v>
      </c>
      <c r="G50" s="165">
        <f t="shared" si="4"/>
        <v>105015.43136196441</v>
      </c>
      <c r="H50" s="147">
        <f t="shared" si="5"/>
        <v>105015.43136196441</v>
      </c>
      <c r="I50" s="160">
        <f t="shared" si="1"/>
        <v>0</v>
      </c>
      <c r="J50" s="160"/>
      <c r="K50" s="335"/>
      <c r="L50" s="162">
        <f t="shared" si="6"/>
        <v>0</v>
      </c>
      <c r="M50" s="335"/>
      <c r="N50" s="162">
        <f t="shared" si="7"/>
        <v>0</v>
      </c>
      <c r="O50" s="162">
        <f t="shared" si="8"/>
        <v>0</v>
      </c>
      <c r="P50" s="4"/>
    </row>
    <row r="51" spans="2:16">
      <c r="B51" s="9" t="str">
        <f t="shared" si="0"/>
        <v/>
      </c>
      <c r="C51" s="157">
        <f>IF(D11="","-",+C50+1)</f>
        <v>2048</v>
      </c>
      <c r="D51" s="163">
        <f>IF(F50+SUM(E$17:E50)=D$10,F50,D$10-SUM(E$17:E50))</f>
        <v>395870.388587236</v>
      </c>
      <c r="E51" s="164">
        <f t="shared" si="2"/>
        <v>56165.714249999997</v>
      </c>
      <c r="F51" s="163">
        <f t="shared" si="3"/>
        <v>339704.67433723598</v>
      </c>
      <c r="G51" s="165">
        <f t="shared" si="4"/>
        <v>98543.776102209085</v>
      </c>
      <c r="H51" s="147">
        <f t="shared" si="5"/>
        <v>98543.776102209085</v>
      </c>
      <c r="I51" s="160">
        <f t="shared" si="1"/>
        <v>0</v>
      </c>
      <c r="J51" s="160"/>
      <c r="K51" s="335"/>
      <c r="L51" s="162">
        <f t="shared" si="6"/>
        <v>0</v>
      </c>
      <c r="M51" s="335"/>
      <c r="N51" s="162">
        <f t="shared" si="7"/>
        <v>0</v>
      </c>
      <c r="O51" s="162">
        <f t="shared" si="8"/>
        <v>0</v>
      </c>
      <c r="P51" s="4"/>
    </row>
    <row r="52" spans="2:16">
      <c r="B52" s="9" t="str">
        <f t="shared" si="0"/>
        <v/>
      </c>
      <c r="C52" s="157">
        <f>IF(D11="","-",+C51+1)</f>
        <v>2049</v>
      </c>
      <c r="D52" s="163">
        <f>IF(F51+SUM(E$17:E51)=D$10,F51,D$10-SUM(E$17:E51))</f>
        <v>339704.67433723598</v>
      </c>
      <c r="E52" s="164">
        <f t="shared" si="2"/>
        <v>56165.714249999997</v>
      </c>
      <c r="F52" s="163">
        <f t="shared" si="3"/>
        <v>283538.96008723596</v>
      </c>
      <c r="G52" s="165">
        <f t="shared" si="4"/>
        <v>92072.120842453776</v>
      </c>
      <c r="H52" s="147">
        <f t="shared" si="5"/>
        <v>92072.120842453776</v>
      </c>
      <c r="I52" s="160">
        <f t="shared" si="1"/>
        <v>0</v>
      </c>
      <c r="J52" s="160"/>
      <c r="K52" s="335"/>
      <c r="L52" s="162">
        <f t="shared" si="6"/>
        <v>0</v>
      </c>
      <c r="M52" s="335"/>
      <c r="N52" s="162">
        <f t="shared" si="7"/>
        <v>0</v>
      </c>
      <c r="O52" s="162">
        <f t="shared" si="8"/>
        <v>0</v>
      </c>
      <c r="P52" s="4"/>
    </row>
    <row r="53" spans="2:16">
      <c r="B53" s="9" t="str">
        <f t="shared" si="0"/>
        <v/>
      </c>
      <c r="C53" s="157">
        <f>IF(D11="","-",+C52+1)</f>
        <v>2050</v>
      </c>
      <c r="D53" s="163">
        <f>IF(F52+SUM(E$17:E52)=D$10,F52,D$10-SUM(E$17:E52))</f>
        <v>283538.96008723596</v>
      </c>
      <c r="E53" s="164">
        <f t="shared" si="2"/>
        <v>56165.714249999997</v>
      </c>
      <c r="F53" s="163">
        <f t="shared" si="3"/>
        <v>227373.24583723597</v>
      </c>
      <c r="G53" s="165">
        <f t="shared" si="4"/>
        <v>85600.465582698467</v>
      </c>
      <c r="H53" s="147">
        <f t="shared" si="5"/>
        <v>85600.465582698467</v>
      </c>
      <c r="I53" s="160">
        <f t="shared" si="1"/>
        <v>0</v>
      </c>
      <c r="J53" s="160"/>
      <c r="K53" s="335"/>
      <c r="L53" s="162">
        <f t="shared" si="6"/>
        <v>0</v>
      </c>
      <c r="M53" s="335"/>
      <c r="N53" s="162">
        <f t="shared" si="7"/>
        <v>0</v>
      </c>
      <c r="O53" s="162">
        <f t="shared" si="8"/>
        <v>0</v>
      </c>
      <c r="P53" s="4"/>
    </row>
    <row r="54" spans="2:16">
      <c r="B54" s="9" t="str">
        <f t="shared" si="0"/>
        <v/>
      </c>
      <c r="C54" s="157">
        <f>IF(D11="","-",+C53+1)</f>
        <v>2051</v>
      </c>
      <c r="D54" s="163">
        <f>IF(F53+SUM(E$17:E53)=D$10,F53,D$10-SUM(E$17:E53))</f>
        <v>227373.24583723597</v>
      </c>
      <c r="E54" s="164">
        <f t="shared" si="2"/>
        <v>56165.714249999997</v>
      </c>
      <c r="F54" s="163">
        <f t="shared" si="3"/>
        <v>171207.53158723598</v>
      </c>
      <c r="G54" s="165">
        <f t="shared" si="4"/>
        <v>79128.810322943144</v>
      </c>
      <c r="H54" s="147">
        <f t="shared" si="5"/>
        <v>79128.810322943144</v>
      </c>
      <c r="I54" s="160">
        <f t="shared" si="1"/>
        <v>0</v>
      </c>
      <c r="J54" s="160"/>
      <c r="K54" s="335"/>
      <c r="L54" s="162">
        <f t="shared" si="6"/>
        <v>0</v>
      </c>
      <c r="M54" s="335"/>
      <c r="N54" s="162">
        <f t="shared" si="7"/>
        <v>0</v>
      </c>
      <c r="O54" s="162">
        <f t="shared" si="8"/>
        <v>0</v>
      </c>
      <c r="P54" s="4"/>
    </row>
    <row r="55" spans="2:16">
      <c r="B55" s="9" t="str">
        <f t="shared" si="0"/>
        <v/>
      </c>
      <c r="C55" s="157">
        <f>IF(D11="","-",+C54+1)</f>
        <v>2052</v>
      </c>
      <c r="D55" s="163">
        <f>IF(F54+SUM(E$17:E54)=D$10,F54,D$10-SUM(E$17:E54))</f>
        <v>171207.53158723598</v>
      </c>
      <c r="E55" s="164">
        <f t="shared" si="2"/>
        <v>56165.714249999997</v>
      </c>
      <c r="F55" s="163">
        <f t="shared" si="3"/>
        <v>115041.81733723599</v>
      </c>
      <c r="G55" s="165">
        <f t="shared" si="4"/>
        <v>72657.155063187849</v>
      </c>
      <c r="H55" s="147">
        <f t="shared" si="5"/>
        <v>72657.155063187849</v>
      </c>
      <c r="I55" s="160">
        <f t="shared" si="1"/>
        <v>0</v>
      </c>
      <c r="J55" s="160"/>
      <c r="K55" s="335"/>
      <c r="L55" s="162">
        <f t="shared" si="6"/>
        <v>0</v>
      </c>
      <c r="M55" s="335"/>
      <c r="N55" s="162">
        <f t="shared" si="7"/>
        <v>0</v>
      </c>
      <c r="O55" s="162">
        <f t="shared" si="8"/>
        <v>0</v>
      </c>
      <c r="P55" s="4"/>
    </row>
    <row r="56" spans="2:16">
      <c r="B56" s="9" t="str">
        <f t="shared" si="0"/>
        <v/>
      </c>
      <c r="C56" s="157">
        <f>IF(D11="","-",+C55+1)</f>
        <v>2053</v>
      </c>
      <c r="D56" s="163">
        <f>IF(F55+SUM(E$17:E55)=D$10,F55,D$10-SUM(E$17:E55))</f>
        <v>115041.81733723599</v>
      </c>
      <c r="E56" s="164">
        <f t="shared" si="2"/>
        <v>56165.714249999997</v>
      </c>
      <c r="F56" s="163">
        <f t="shared" si="3"/>
        <v>58876.103087235992</v>
      </c>
      <c r="G56" s="165">
        <f t="shared" si="4"/>
        <v>66185.499803432525</v>
      </c>
      <c r="H56" s="147">
        <f t="shared" si="5"/>
        <v>66185.499803432525</v>
      </c>
      <c r="I56" s="160">
        <f t="shared" si="1"/>
        <v>0</v>
      </c>
      <c r="J56" s="160"/>
      <c r="K56" s="335"/>
      <c r="L56" s="162">
        <f t="shared" si="6"/>
        <v>0</v>
      </c>
      <c r="M56" s="335"/>
      <c r="N56" s="162">
        <f t="shared" si="7"/>
        <v>0</v>
      </c>
      <c r="O56" s="162">
        <f t="shared" si="8"/>
        <v>0</v>
      </c>
      <c r="P56" s="4"/>
    </row>
    <row r="57" spans="2:16">
      <c r="B57" s="9" t="str">
        <f t="shared" si="0"/>
        <v/>
      </c>
      <c r="C57" s="157">
        <f>IF(D11="","-",+C56+1)</f>
        <v>2054</v>
      </c>
      <c r="D57" s="163">
        <f>IF(F56+SUM(E$17:E56)=D$10,F56,D$10-SUM(E$17:E56))</f>
        <v>58876.103087235992</v>
      </c>
      <c r="E57" s="164">
        <f t="shared" si="2"/>
        <v>56165.714249999997</v>
      </c>
      <c r="F57" s="163">
        <f t="shared" si="3"/>
        <v>2710.3888372359943</v>
      </c>
      <c r="G57" s="165">
        <f t="shared" si="4"/>
        <v>59713.844543677224</v>
      </c>
      <c r="H57" s="147">
        <f t="shared" si="5"/>
        <v>59713.844543677224</v>
      </c>
      <c r="I57" s="160">
        <f t="shared" si="1"/>
        <v>0</v>
      </c>
      <c r="J57" s="160"/>
      <c r="K57" s="335"/>
      <c r="L57" s="162">
        <f t="shared" si="6"/>
        <v>0</v>
      </c>
      <c r="M57" s="335"/>
      <c r="N57" s="162">
        <f t="shared" si="7"/>
        <v>0</v>
      </c>
      <c r="O57" s="162">
        <f t="shared" si="8"/>
        <v>0</v>
      </c>
      <c r="P57" s="4"/>
    </row>
    <row r="58" spans="2:16">
      <c r="B58" s="9" t="str">
        <f t="shared" si="0"/>
        <v/>
      </c>
      <c r="C58" s="157">
        <f>IF(D11="","-",+C57+1)</f>
        <v>2055</v>
      </c>
      <c r="D58" s="163">
        <f>IF(F57+SUM(E$17:E57)=D$10,F57,D$10-SUM(E$17:E57))</f>
        <v>2710.3888372359943</v>
      </c>
      <c r="E58" s="164">
        <f t="shared" si="2"/>
        <v>2710.3888372359943</v>
      </c>
      <c r="F58" s="163">
        <f t="shared" si="3"/>
        <v>0</v>
      </c>
      <c r="G58" s="165">
        <f t="shared" si="4"/>
        <v>2866.5401691357788</v>
      </c>
      <c r="H58" s="147">
        <f t="shared" si="5"/>
        <v>2866.5401691357788</v>
      </c>
      <c r="I58" s="160">
        <f t="shared" si="1"/>
        <v>0</v>
      </c>
      <c r="J58" s="160"/>
      <c r="K58" s="335"/>
      <c r="L58" s="162">
        <f t="shared" si="6"/>
        <v>0</v>
      </c>
      <c r="M58" s="335"/>
      <c r="N58" s="162">
        <f t="shared" si="7"/>
        <v>0</v>
      </c>
      <c r="O58" s="162">
        <f t="shared" si="8"/>
        <v>0</v>
      </c>
      <c r="P58" s="4"/>
    </row>
    <row r="59" spans="2:16">
      <c r="B59" s="9" t="str">
        <f t="shared" si="0"/>
        <v/>
      </c>
      <c r="C59" s="157">
        <f>IF(D11="","-",+C58+1)</f>
        <v>2056</v>
      </c>
      <c r="D59" s="163">
        <f>IF(F58+SUM(E$17:E58)=D$10,F58,D$10-SUM(E$17:E58))</f>
        <v>0</v>
      </c>
      <c r="E59" s="164">
        <f t="shared" si="2"/>
        <v>0</v>
      </c>
      <c r="F59" s="163">
        <f t="shared" si="3"/>
        <v>0</v>
      </c>
      <c r="G59" s="165">
        <f t="shared" si="4"/>
        <v>0</v>
      </c>
      <c r="H59" s="147">
        <f t="shared" si="5"/>
        <v>0</v>
      </c>
      <c r="I59" s="160">
        <f t="shared" si="1"/>
        <v>0</v>
      </c>
      <c r="J59" s="160"/>
      <c r="K59" s="335"/>
      <c r="L59" s="162">
        <f t="shared" si="6"/>
        <v>0</v>
      </c>
      <c r="M59" s="335"/>
      <c r="N59" s="162">
        <f t="shared" si="7"/>
        <v>0</v>
      </c>
      <c r="O59" s="162">
        <f t="shared" si="8"/>
        <v>0</v>
      </c>
      <c r="P59" s="4"/>
    </row>
    <row r="60" spans="2:16">
      <c r="B60" s="9" t="str">
        <f t="shared" si="0"/>
        <v/>
      </c>
      <c r="C60" s="157">
        <f>IF(D11="","-",+C59+1)</f>
        <v>2057</v>
      </c>
      <c r="D60" s="163">
        <f>IF(F59+SUM(E$17:E59)=D$10,F59,D$10-SUM(E$17:E59))</f>
        <v>0</v>
      </c>
      <c r="E60" s="164">
        <f t="shared" si="2"/>
        <v>0</v>
      </c>
      <c r="F60" s="163">
        <f t="shared" si="3"/>
        <v>0</v>
      </c>
      <c r="G60" s="165">
        <f t="shared" si="4"/>
        <v>0</v>
      </c>
      <c r="H60" s="147">
        <f t="shared" si="5"/>
        <v>0</v>
      </c>
      <c r="I60" s="160">
        <f t="shared" si="1"/>
        <v>0</v>
      </c>
      <c r="J60" s="160"/>
      <c r="K60" s="335"/>
      <c r="L60" s="162">
        <f t="shared" si="6"/>
        <v>0</v>
      </c>
      <c r="M60" s="335"/>
      <c r="N60" s="162">
        <f t="shared" si="7"/>
        <v>0</v>
      </c>
      <c r="O60" s="162">
        <f t="shared" si="8"/>
        <v>0</v>
      </c>
      <c r="P60" s="4"/>
    </row>
    <row r="61" spans="2:16">
      <c r="B61" s="9" t="str">
        <f t="shared" si="0"/>
        <v/>
      </c>
      <c r="C61" s="157">
        <f>IF(D11="","-",+C60+1)</f>
        <v>2058</v>
      </c>
      <c r="D61" s="163">
        <f>IF(F60+SUM(E$17:E60)=D$10,F60,D$10-SUM(E$17:E60))</f>
        <v>0</v>
      </c>
      <c r="E61" s="164">
        <f t="shared" si="2"/>
        <v>0</v>
      </c>
      <c r="F61" s="163">
        <f t="shared" si="3"/>
        <v>0</v>
      </c>
      <c r="G61" s="165">
        <f t="shared" si="4"/>
        <v>0</v>
      </c>
      <c r="H61" s="147">
        <f t="shared" si="5"/>
        <v>0</v>
      </c>
      <c r="I61" s="160">
        <f t="shared" si="1"/>
        <v>0</v>
      </c>
      <c r="J61" s="160"/>
      <c r="K61" s="335"/>
      <c r="L61" s="162">
        <f t="shared" si="6"/>
        <v>0</v>
      </c>
      <c r="M61" s="335"/>
      <c r="N61" s="162">
        <f t="shared" si="7"/>
        <v>0</v>
      </c>
      <c r="O61" s="162">
        <f t="shared" si="8"/>
        <v>0</v>
      </c>
      <c r="P61" s="4"/>
    </row>
    <row r="62" spans="2:16">
      <c r="B62" s="9" t="str">
        <f t="shared" si="0"/>
        <v/>
      </c>
      <c r="C62" s="157">
        <f>IF(D11="","-",+C61+1)</f>
        <v>2059</v>
      </c>
      <c r="D62" s="163">
        <f>IF(F61+SUM(E$17:E61)=D$10,F61,D$10-SUM(E$17:E61))</f>
        <v>0</v>
      </c>
      <c r="E62" s="164">
        <f t="shared" si="2"/>
        <v>0</v>
      </c>
      <c r="F62" s="163">
        <f t="shared" si="3"/>
        <v>0</v>
      </c>
      <c r="G62" s="165">
        <f t="shared" si="4"/>
        <v>0</v>
      </c>
      <c r="H62" s="147">
        <f t="shared" si="5"/>
        <v>0</v>
      </c>
      <c r="I62" s="160">
        <f t="shared" si="1"/>
        <v>0</v>
      </c>
      <c r="J62" s="160"/>
      <c r="K62" s="335"/>
      <c r="L62" s="162">
        <f t="shared" si="6"/>
        <v>0</v>
      </c>
      <c r="M62" s="335"/>
      <c r="N62" s="162">
        <f t="shared" si="7"/>
        <v>0</v>
      </c>
      <c r="O62" s="162">
        <f t="shared" si="8"/>
        <v>0</v>
      </c>
      <c r="P62" s="4"/>
    </row>
    <row r="63" spans="2:16">
      <c r="B63" s="9" t="str">
        <f t="shared" si="0"/>
        <v/>
      </c>
      <c r="C63" s="157">
        <f>IF(D11="","-",+C62+1)</f>
        <v>2060</v>
      </c>
      <c r="D63" s="163">
        <f>IF(F62+SUM(E$17:E62)=D$10,F62,D$10-SUM(E$17:E62))</f>
        <v>0</v>
      </c>
      <c r="E63" s="164">
        <f t="shared" si="2"/>
        <v>0</v>
      </c>
      <c r="F63" s="163">
        <f t="shared" si="3"/>
        <v>0</v>
      </c>
      <c r="G63" s="165">
        <f t="shared" si="4"/>
        <v>0</v>
      </c>
      <c r="H63" s="147">
        <f t="shared" si="5"/>
        <v>0</v>
      </c>
      <c r="I63" s="160">
        <f t="shared" si="1"/>
        <v>0</v>
      </c>
      <c r="J63" s="160"/>
      <c r="K63" s="335"/>
      <c r="L63" s="162">
        <f t="shared" si="6"/>
        <v>0</v>
      </c>
      <c r="M63" s="335"/>
      <c r="N63" s="162">
        <f t="shared" si="7"/>
        <v>0</v>
      </c>
      <c r="O63" s="162">
        <f t="shared" si="8"/>
        <v>0</v>
      </c>
      <c r="P63" s="4"/>
    </row>
    <row r="64" spans="2:16">
      <c r="B64" s="9" t="str">
        <f t="shared" si="0"/>
        <v/>
      </c>
      <c r="C64" s="157">
        <f>IF(D11="","-",+C63+1)</f>
        <v>2061</v>
      </c>
      <c r="D64" s="163">
        <f>IF(F63+SUM(E$17:E63)=D$10,F63,D$10-SUM(E$17:E63))</f>
        <v>0</v>
      </c>
      <c r="E64" s="164">
        <f t="shared" si="2"/>
        <v>0</v>
      </c>
      <c r="F64" s="163">
        <f t="shared" si="3"/>
        <v>0</v>
      </c>
      <c r="G64" s="165">
        <f t="shared" si="4"/>
        <v>0</v>
      </c>
      <c r="H64" s="147">
        <f t="shared" si="5"/>
        <v>0</v>
      </c>
      <c r="I64" s="160">
        <f t="shared" si="1"/>
        <v>0</v>
      </c>
      <c r="J64" s="160"/>
      <c r="K64" s="335"/>
      <c r="L64" s="162">
        <f t="shared" si="6"/>
        <v>0</v>
      </c>
      <c r="M64" s="335"/>
      <c r="N64" s="162">
        <f t="shared" si="7"/>
        <v>0</v>
      </c>
      <c r="O64" s="162">
        <f t="shared" si="8"/>
        <v>0</v>
      </c>
      <c r="P64" s="4"/>
    </row>
    <row r="65" spans="2:16">
      <c r="B65" s="9" t="str">
        <f t="shared" si="0"/>
        <v/>
      </c>
      <c r="C65" s="157">
        <f>IF(D11="","-",+C64+1)</f>
        <v>2062</v>
      </c>
      <c r="D65" s="163">
        <f>IF(F64+SUM(E$17:E64)=D$10,F64,D$10-SUM(E$17:E64))</f>
        <v>0</v>
      </c>
      <c r="E65" s="164">
        <f t="shared" si="2"/>
        <v>0</v>
      </c>
      <c r="F65" s="163">
        <f t="shared" si="3"/>
        <v>0</v>
      </c>
      <c r="G65" s="165">
        <f t="shared" si="4"/>
        <v>0</v>
      </c>
      <c r="H65" s="147">
        <f t="shared" si="5"/>
        <v>0</v>
      </c>
      <c r="I65" s="160">
        <f t="shared" si="1"/>
        <v>0</v>
      </c>
      <c r="J65" s="160"/>
      <c r="K65" s="335"/>
      <c r="L65" s="162">
        <f t="shared" si="6"/>
        <v>0</v>
      </c>
      <c r="M65" s="335"/>
      <c r="N65" s="162">
        <f t="shared" si="7"/>
        <v>0</v>
      </c>
      <c r="O65" s="162">
        <f t="shared" si="8"/>
        <v>0</v>
      </c>
      <c r="P65" s="4"/>
    </row>
    <row r="66" spans="2:16">
      <c r="B66" s="9" t="str">
        <f t="shared" si="0"/>
        <v/>
      </c>
      <c r="C66" s="157">
        <f>IF(D11="","-",+C65+1)</f>
        <v>2063</v>
      </c>
      <c r="D66" s="163">
        <f>IF(F65+SUM(E$17:E65)=D$10,F65,D$10-SUM(E$17:E65))</f>
        <v>0</v>
      </c>
      <c r="E66" s="164">
        <f t="shared" si="2"/>
        <v>0</v>
      </c>
      <c r="F66" s="163">
        <f t="shared" si="3"/>
        <v>0</v>
      </c>
      <c r="G66" s="165">
        <f t="shared" si="4"/>
        <v>0</v>
      </c>
      <c r="H66" s="147">
        <f t="shared" si="5"/>
        <v>0</v>
      </c>
      <c r="I66" s="160">
        <f t="shared" si="1"/>
        <v>0</v>
      </c>
      <c r="J66" s="160"/>
      <c r="K66" s="335"/>
      <c r="L66" s="162">
        <f t="shared" si="6"/>
        <v>0</v>
      </c>
      <c r="M66" s="335"/>
      <c r="N66" s="162">
        <f t="shared" si="7"/>
        <v>0</v>
      </c>
      <c r="O66" s="162">
        <f t="shared" si="8"/>
        <v>0</v>
      </c>
      <c r="P66" s="4"/>
    </row>
    <row r="67" spans="2:16">
      <c r="B67" s="9" t="str">
        <f t="shared" si="0"/>
        <v/>
      </c>
      <c r="C67" s="157">
        <f>IF(D11="","-",+C66+1)</f>
        <v>2064</v>
      </c>
      <c r="D67" s="163">
        <f>IF(F66+SUM(E$17:E66)=D$10,F66,D$10-SUM(E$17:E66))</f>
        <v>0</v>
      </c>
      <c r="E67" s="164">
        <f t="shared" si="2"/>
        <v>0</v>
      </c>
      <c r="F67" s="163">
        <f t="shared" si="3"/>
        <v>0</v>
      </c>
      <c r="G67" s="165">
        <f t="shared" si="4"/>
        <v>0</v>
      </c>
      <c r="H67" s="147">
        <f t="shared" si="5"/>
        <v>0</v>
      </c>
      <c r="I67" s="160">
        <f t="shared" si="1"/>
        <v>0</v>
      </c>
      <c r="J67" s="160"/>
      <c r="K67" s="335"/>
      <c r="L67" s="162">
        <f t="shared" si="6"/>
        <v>0</v>
      </c>
      <c r="M67" s="335"/>
      <c r="N67" s="162">
        <f t="shared" si="7"/>
        <v>0</v>
      </c>
      <c r="O67" s="162">
        <f t="shared" si="8"/>
        <v>0</v>
      </c>
      <c r="P67" s="4"/>
    </row>
    <row r="68" spans="2:16">
      <c r="B68" s="9" t="str">
        <f t="shared" si="0"/>
        <v/>
      </c>
      <c r="C68" s="157">
        <f>IF(D11="","-",+C67+1)</f>
        <v>2065</v>
      </c>
      <c r="D68" s="163">
        <f>IF(F67+SUM(E$17:E67)=D$10,F67,D$10-SUM(E$17:E67))</f>
        <v>0</v>
      </c>
      <c r="E68" s="164">
        <f t="shared" si="2"/>
        <v>0</v>
      </c>
      <c r="F68" s="163">
        <f t="shared" si="3"/>
        <v>0</v>
      </c>
      <c r="G68" s="165">
        <f t="shared" si="4"/>
        <v>0</v>
      </c>
      <c r="H68" s="147">
        <f t="shared" si="5"/>
        <v>0</v>
      </c>
      <c r="I68" s="160">
        <f t="shared" si="1"/>
        <v>0</v>
      </c>
      <c r="J68" s="160"/>
      <c r="K68" s="335"/>
      <c r="L68" s="162">
        <f t="shared" si="6"/>
        <v>0</v>
      </c>
      <c r="M68" s="335"/>
      <c r="N68" s="162">
        <f t="shared" si="7"/>
        <v>0</v>
      </c>
      <c r="O68" s="162">
        <f t="shared" si="8"/>
        <v>0</v>
      </c>
      <c r="P68" s="4"/>
    </row>
    <row r="69" spans="2:16">
      <c r="B69" s="9" t="str">
        <f t="shared" si="0"/>
        <v/>
      </c>
      <c r="C69" s="157">
        <f>IF(D11="","-",+C68+1)</f>
        <v>2066</v>
      </c>
      <c r="D69" s="163">
        <f>IF(F68+SUM(E$17:E68)=D$10,F68,D$10-SUM(E$17:E68))</f>
        <v>0</v>
      </c>
      <c r="E69" s="164">
        <f t="shared" si="2"/>
        <v>0</v>
      </c>
      <c r="F69" s="163">
        <f t="shared" si="3"/>
        <v>0</v>
      </c>
      <c r="G69" s="165">
        <f t="shared" si="4"/>
        <v>0</v>
      </c>
      <c r="H69" s="147">
        <f t="shared" si="5"/>
        <v>0</v>
      </c>
      <c r="I69" s="160">
        <f t="shared" si="1"/>
        <v>0</v>
      </c>
      <c r="J69" s="160"/>
      <c r="K69" s="335"/>
      <c r="L69" s="162">
        <f t="shared" si="6"/>
        <v>0</v>
      </c>
      <c r="M69" s="335"/>
      <c r="N69" s="162">
        <f t="shared" si="7"/>
        <v>0</v>
      </c>
      <c r="O69" s="162">
        <f t="shared" si="8"/>
        <v>0</v>
      </c>
      <c r="P69" s="4"/>
    </row>
    <row r="70" spans="2:16">
      <c r="B70" s="9" t="str">
        <f t="shared" si="0"/>
        <v/>
      </c>
      <c r="C70" s="157">
        <f>IF(D11="","-",+C69+1)</f>
        <v>2067</v>
      </c>
      <c r="D70" s="163">
        <f>IF(F69+SUM(E$17:E69)=D$10,F69,D$10-SUM(E$17:E69))</f>
        <v>0</v>
      </c>
      <c r="E70" s="164">
        <f t="shared" si="2"/>
        <v>0</v>
      </c>
      <c r="F70" s="163">
        <f t="shared" si="3"/>
        <v>0</v>
      </c>
      <c r="G70" s="165">
        <f t="shared" si="4"/>
        <v>0</v>
      </c>
      <c r="H70" s="147">
        <f t="shared" si="5"/>
        <v>0</v>
      </c>
      <c r="I70" s="160">
        <f t="shared" si="1"/>
        <v>0</v>
      </c>
      <c r="J70" s="160"/>
      <c r="K70" s="335"/>
      <c r="L70" s="162">
        <f t="shared" si="6"/>
        <v>0</v>
      </c>
      <c r="M70" s="335"/>
      <c r="N70" s="162">
        <f t="shared" si="7"/>
        <v>0</v>
      </c>
      <c r="O70" s="162">
        <f t="shared" si="8"/>
        <v>0</v>
      </c>
      <c r="P70" s="4"/>
    </row>
    <row r="71" spans="2:16">
      <c r="B71" s="9" t="str">
        <f t="shared" si="0"/>
        <v/>
      </c>
      <c r="C71" s="157">
        <f>IF(D11="","-",+C70+1)</f>
        <v>2068</v>
      </c>
      <c r="D71" s="163">
        <f>IF(F70+SUM(E$17:E70)=D$10,F70,D$10-SUM(E$17:E70))</f>
        <v>0</v>
      </c>
      <c r="E71" s="164">
        <f t="shared" si="2"/>
        <v>0</v>
      </c>
      <c r="F71" s="163">
        <f t="shared" si="3"/>
        <v>0</v>
      </c>
      <c r="G71" s="165">
        <f t="shared" si="4"/>
        <v>0</v>
      </c>
      <c r="H71" s="147">
        <f t="shared" si="5"/>
        <v>0</v>
      </c>
      <c r="I71" s="160">
        <f t="shared" si="1"/>
        <v>0</v>
      </c>
      <c r="J71" s="160"/>
      <c r="K71" s="335"/>
      <c r="L71" s="162">
        <f t="shared" si="6"/>
        <v>0</v>
      </c>
      <c r="M71" s="335"/>
      <c r="N71" s="162">
        <f t="shared" si="7"/>
        <v>0</v>
      </c>
      <c r="O71" s="162">
        <f t="shared" si="8"/>
        <v>0</v>
      </c>
      <c r="P71" s="4"/>
    </row>
    <row r="72" spans="2:16" ht="13.5" thickBot="1">
      <c r="B72" s="9" t="str">
        <f t="shared" si="0"/>
        <v/>
      </c>
      <c r="C72" s="168">
        <f>IF(D11="","-",+C71+1)</f>
        <v>2069</v>
      </c>
      <c r="D72" s="169">
        <f>IF(F71+SUM(E$17:E71)=D$10,F71,D$10-SUM(E$17:E71))</f>
        <v>0</v>
      </c>
      <c r="E72" s="170">
        <f t="shared" si="2"/>
        <v>0</v>
      </c>
      <c r="F72" s="169">
        <f t="shared" si="3"/>
        <v>0</v>
      </c>
      <c r="G72" s="377">
        <f t="shared" si="4"/>
        <v>0</v>
      </c>
      <c r="H72" s="130">
        <f t="shared" si="5"/>
        <v>0</v>
      </c>
      <c r="I72" s="172">
        <f t="shared" si="1"/>
        <v>0</v>
      </c>
      <c r="J72" s="160"/>
      <c r="K72" s="336"/>
      <c r="L72" s="173">
        <f t="shared" si="6"/>
        <v>0</v>
      </c>
      <c r="M72" s="336"/>
      <c r="N72" s="173">
        <f t="shared" si="7"/>
        <v>0</v>
      </c>
      <c r="O72" s="173">
        <f t="shared" si="8"/>
        <v>0</v>
      </c>
      <c r="P72" s="4"/>
    </row>
    <row r="73" spans="2:16">
      <c r="C73" s="158" t="s">
        <v>72</v>
      </c>
      <c r="D73" s="115"/>
      <c r="E73" s="115">
        <f>SUM(E17:E72)</f>
        <v>2246628.5700000003</v>
      </c>
      <c r="F73" s="115"/>
      <c r="G73" s="115">
        <f>SUM(G17:G72)</f>
        <v>7855899.7495300304</v>
      </c>
      <c r="H73" s="115">
        <f>SUM(H17:H72)</f>
        <v>7855899.7495300304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15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312854.75152173912</v>
      </c>
      <c r="N87" s="202">
        <f>IF(J92&lt;D11,0,VLOOKUP(J92,C17:O72,11))</f>
        <v>312854.75152173912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314489.63330060086</v>
      </c>
      <c r="N88" s="204">
        <f>IF(J92&lt;D11,0,VLOOKUP(J92,C99:P154,7))</f>
        <v>314489.63330060086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Locust Grove to Lone Star 115 kV Rebuild 2.1 miles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1634.8817788617453</v>
      </c>
      <c r="N89" s="207">
        <f>+N88-N87</f>
        <v>1634.8817788617453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TP2009093</v>
      </c>
      <c r="E91" s="210" t="str">
        <f>E9</f>
        <v xml:space="preserve">  SPP Project ID = 649</v>
      </c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f>+D10</f>
        <v>2246628.5699999998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460" t="s">
        <v>263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+D12</f>
        <v>2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48840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 ht="13.5" thickBot="1">
      <c r="C99" s="157" t="str">
        <f>IF(D93= "","-",D93)</f>
        <v>2014</v>
      </c>
      <c r="D99" s="436">
        <v>0</v>
      </c>
      <c r="E99" s="437">
        <v>36003.333333333336</v>
      </c>
      <c r="F99" s="438">
        <v>2210625.2366666663</v>
      </c>
      <c r="G99" s="448">
        <v>1105312.6183333332</v>
      </c>
      <c r="H99" s="449">
        <v>191405.76922123961</v>
      </c>
      <c r="I99" s="450">
        <v>191405.76922123961</v>
      </c>
      <c r="J99" s="162">
        <v>0</v>
      </c>
      <c r="K99" s="162"/>
      <c r="L99" s="338">
        <f>H99</f>
        <v>191405.76922123961</v>
      </c>
      <c r="M99" s="175">
        <f>IF(L99&lt;&gt;0,+H99-L99,0)</f>
        <v>0</v>
      </c>
      <c r="N99" s="338">
        <f>I99</f>
        <v>191405.76922123961</v>
      </c>
      <c r="O99" s="160">
        <f>IF(N99&lt;&gt;0,+I99-N99,0)</f>
        <v>0</v>
      </c>
      <c r="P99" s="162">
        <f>+O99-M99</f>
        <v>0</v>
      </c>
    </row>
    <row r="100" spans="1:16" ht="13.5" thickBot="1">
      <c r="B100" s="9" t="str">
        <f>IF(D100=F99,"","IU")</f>
        <v/>
      </c>
      <c r="C100" s="157">
        <f>IF(D93="","-",+C99+1)</f>
        <v>2015</v>
      </c>
      <c r="D100" s="436">
        <v>2210625.2366666663</v>
      </c>
      <c r="E100" s="437">
        <v>43204</v>
      </c>
      <c r="F100" s="438">
        <v>2167421.2366666663</v>
      </c>
      <c r="G100" s="448">
        <v>2189023.2366666663</v>
      </c>
      <c r="H100" s="449">
        <v>341878.62002899748</v>
      </c>
      <c r="I100" s="450">
        <v>341878.62002899748</v>
      </c>
      <c r="J100" s="162">
        <f>+I100-H100</f>
        <v>0</v>
      </c>
      <c r="K100" s="162"/>
      <c r="L100" s="338">
        <f>H100</f>
        <v>341878.62002899748</v>
      </c>
      <c r="M100" s="175">
        <f>IF(L100&lt;&gt;0,+H100-L100,0)</f>
        <v>0</v>
      </c>
      <c r="N100" s="338">
        <f>I100</f>
        <v>341878.62002899748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9">IF(D101=F100,"","IU")</f>
        <v/>
      </c>
      <c r="C101" s="157">
        <f>IF(D93="","-",+C100+1)</f>
        <v>2016</v>
      </c>
      <c r="D101" s="436">
        <v>2167421.2366666663</v>
      </c>
      <c r="E101" s="437">
        <v>48840</v>
      </c>
      <c r="F101" s="438">
        <v>2118581.2366666663</v>
      </c>
      <c r="G101" s="448">
        <v>2143001.2366666663</v>
      </c>
      <c r="H101" s="449">
        <v>325106.60926354182</v>
      </c>
      <c r="I101" s="450">
        <v>325106.60926354182</v>
      </c>
      <c r="J101" s="162">
        <v>0</v>
      </c>
      <c r="K101" s="162"/>
      <c r="L101" s="338">
        <f>H101</f>
        <v>325106.60926354182</v>
      </c>
      <c r="M101" s="175">
        <f>IF(L101&lt;&gt;0,+H101-L101,0)</f>
        <v>0</v>
      </c>
      <c r="N101" s="338">
        <f>I101</f>
        <v>325106.60926354182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9"/>
        <v/>
      </c>
      <c r="C102" s="157">
        <f>IF(D93="","-",+C101+1)</f>
        <v>2017</v>
      </c>
      <c r="D102" s="158">
        <f>IF(F101+SUM(E$99:E101)=D$92,F101,D$92-SUM(E$99:E101))</f>
        <v>2118581.2366666663</v>
      </c>
      <c r="E102" s="164">
        <f t="shared" ref="E102:E154" si="10">IF(+J$96&lt;F101,J$96,D102)</f>
        <v>48840</v>
      </c>
      <c r="F102" s="163">
        <f t="shared" ref="F102:F154" si="11">+D102-E102</f>
        <v>2069741.2366666663</v>
      </c>
      <c r="G102" s="163">
        <f t="shared" ref="G102:G154" si="12">+(F102+D102)/2</f>
        <v>2094161.2366666663</v>
      </c>
      <c r="H102" s="167">
        <f t="shared" ref="H102:H154" si="13">+J$94*G102+E102</f>
        <v>314489.63330060086</v>
      </c>
      <c r="I102" s="317">
        <f t="shared" ref="I102:I154" si="14">+J$95*G102+E102</f>
        <v>314489.63330060086</v>
      </c>
      <c r="J102" s="162">
        <f t="shared" ref="J102:J154" si="15">+I102-H102</f>
        <v>0</v>
      </c>
      <c r="K102" s="162"/>
      <c r="L102" s="335"/>
      <c r="M102" s="162">
        <f t="shared" ref="M102:M130" si="16">IF(L102&lt;&gt;0,+H102-L102,0)</f>
        <v>0</v>
      </c>
      <c r="N102" s="335"/>
      <c r="O102" s="162">
        <f t="shared" ref="O102:O130" si="17">IF(N102&lt;&gt;0,+I102-N102,0)</f>
        <v>0</v>
      </c>
      <c r="P102" s="162">
        <f t="shared" ref="P102:P130" si="18">+O102-M102</f>
        <v>0</v>
      </c>
    </row>
    <row r="103" spans="1:16">
      <c r="B103" s="9" t="str">
        <f t="shared" si="9"/>
        <v/>
      </c>
      <c r="C103" s="157">
        <f>IF(D93="","-",+C102+1)</f>
        <v>2018</v>
      </c>
      <c r="D103" s="158">
        <f>IF(F102+SUM(E$99:E102)=D$92,F102,D$92-SUM(E$99:E102))</f>
        <v>2069741.2366666663</v>
      </c>
      <c r="E103" s="164">
        <f t="shared" si="10"/>
        <v>48840</v>
      </c>
      <c r="F103" s="163">
        <f t="shared" si="11"/>
        <v>2020901.2366666663</v>
      </c>
      <c r="G103" s="163">
        <f t="shared" si="12"/>
        <v>2045321.2366666663</v>
      </c>
      <c r="H103" s="167">
        <f t="shared" si="13"/>
        <v>308294.15615049715</v>
      </c>
      <c r="I103" s="317">
        <f t="shared" si="14"/>
        <v>308294.15615049715</v>
      </c>
      <c r="J103" s="162">
        <f t="shared" si="15"/>
        <v>0</v>
      </c>
      <c r="K103" s="162"/>
      <c r="L103" s="335"/>
      <c r="M103" s="162">
        <f t="shared" si="16"/>
        <v>0</v>
      </c>
      <c r="N103" s="335"/>
      <c r="O103" s="162">
        <f t="shared" si="17"/>
        <v>0</v>
      </c>
      <c r="P103" s="162">
        <f t="shared" si="18"/>
        <v>0</v>
      </c>
    </row>
    <row r="104" spans="1:16">
      <c r="B104" s="9" t="str">
        <f t="shared" si="9"/>
        <v/>
      </c>
      <c r="C104" s="157">
        <f>IF(D93="","-",+C103+1)</f>
        <v>2019</v>
      </c>
      <c r="D104" s="158">
        <f>IF(F103+SUM(E$99:E103)=D$92,F103,D$92-SUM(E$99:E103))</f>
        <v>2020901.2366666663</v>
      </c>
      <c r="E104" s="164">
        <f t="shared" si="10"/>
        <v>48840</v>
      </c>
      <c r="F104" s="163">
        <f t="shared" si="11"/>
        <v>1972061.2366666663</v>
      </c>
      <c r="G104" s="163">
        <f t="shared" si="12"/>
        <v>1996481.2366666663</v>
      </c>
      <c r="H104" s="167">
        <f t="shared" si="13"/>
        <v>302098.67900039337</v>
      </c>
      <c r="I104" s="317">
        <f t="shared" si="14"/>
        <v>302098.67900039337</v>
      </c>
      <c r="J104" s="162">
        <f t="shared" si="15"/>
        <v>0</v>
      </c>
      <c r="K104" s="162"/>
      <c r="L104" s="335"/>
      <c r="M104" s="162">
        <f t="shared" si="16"/>
        <v>0</v>
      </c>
      <c r="N104" s="335"/>
      <c r="O104" s="162">
        <f t="shared" si="17"/>
        <v>0</v>
      </c>
      <c r="P104" s="162">
        <f t="shared" si="18"/>
        <v>0</v>
      </c>
    </row>
    <row r="105" spans="1:16">
      <c r="B105" s="9" t="str">
        <f t="shared" si="9"/>
        <v/>
      </c>
      <c r="C105" s="157">
        <f>IF(D93="","-",+C104+1)</f>
        <v>2020</v>
      </c>
      <c r="D105" s="158">
        <f>IF(F104+SUM(E$99:E104)=D$92,F104,D$92-SUM(E$99:E104))</f>
        <v>1972061.2366666663</v>
      </c>
      <c r="E105" s="164">
        <f t="shared" si="10"/>
        <v>48840</v>
      </c>
      <c r="F105" s="163">
        <f t="shared" si="11"/>
        <v>1923221.2366666663</v>
      </c>
      <c r="G105" s="163">
        <f t="shared" si="12"/>
        <v>1947641.2366666663</v>
      </c>
      <c r="H105" s="167">
        <f t="shared" si="13"/>
        <v>295903.2018502896</v>
      </c>
      <c r="I105" s="317">
        <f t="shared" si="14"/>
        <v>295903.2018502896</v>
      </c>
      <c r="J105" s="162">
        <f t="shared" si="15"/>
        <v>0</v>
      </c>
      <c r="K105" s="162"/>
      <c r="L105" s="335"/>
      <c r="M105" s="162">
        <f t="shared" si="16"/>
        <v>0</v>
      </c>
      <c r="N105" s="335"/>
      <c r="O105" s="162">
        <f t="shared" si="17"/>
        <v>0</v>
      </c>
      <c r="P105" s="162">
        <f t="shared" si="18"/>
        <v>0</v>
      </c>
    </row>
    <row r="106" spans="1:16">
      <c r="B106" s="9" t="str">
        <f t="shared" si="9"/>
        <v/>
      </c>
      <c r="C106" s="157">
        <f>IF(D93="","-",+C105+1)</f>
        <v>2021</v>
      </c>
      <c r="D106" s="158">
        <f>IF(F105+SUM(E$99:E105)=D$92,F105,D$92-SUM(E$99:E105))</f>
        <v>1923221.2366666663</v>
      </c>
      <c r="E106" s="164">
        <f t="shared" si="10"/>
        <v>48840</v>
      </c>
      <c r="F106" s="163">
        <f t="shared" si="11"/>
        <v>1874381.2366666663</v>
      </c>
      <c r="G106" s="163">
        <f t="shared" si="12"/>
        <v>1898801.2366666663</v>
      </c>
      <c r="H106" s="167">
        <f t="shared" si="13"/>
        <v>289707.72470018588</v>
      </c>
      <c r="I106" s="317">
        <f t="shared" si="14"/>
        <v>289707.72470018588</v>
      </c>
      <c r="J106" s="162">
        <f t="shared" si="15"/>
        <v>0</v>
      </c>
      <c r="K106" s="162"/>
      <c r="L106" s="335"/>
      <c r="M106" s="162">
        <f t="shared" si="16"/>
        <v>0</v>
      </c>
      <c r="N106" s="335"/>
      <c r="O106" s="162">
        <f t="shared" si="17"/>
        <v>0</v>
      </c>
      <c r="P106" s="162">
        <f t="shared" si="18"/>
        <v>0</v>
      </c>
    </row>
    <row r="107" spans="1:16">
      <c r="B107" s="9" t="str">
        <f t="shared" si="9"/>
        <v/>
      </c>
      <c r="C107" s="157">
        <f>IF(D93="","-",+C106+1)</f>
        <v>2022</v>
      </c>
      <c r="D107" s="158">
        <f>IF(F106+SUM(E$99:E106)=D$92,F106,D$92-SUM(E$99:E106))</f>
        <v>1874381.2366666663</v>
      </c>
      <c r="E107" s="164">
        <f t="shared" si="10"/>
        <v>48840</v>
      </c>
      <c r="F107" s="163">
        <f t="shared" si="11"/>
        <v>1825541.2366666663</v>
      </c>
      <c r="G107" s="163">
        <f t="shared" si="12"/>
        <v>1849961.2366666663</v>
      </c>
      <c r="H107" s="167">
        <f t="shared" si="13"/>
        <v>283512.2475500821</v>
      </c>
      <c r="I107" s="317">
        <f t="shared" si="14"/>
        <v>283512.2475500821</v>
      </c>
      <c r="J107" s="162">
        <f t="shared" si="15"/>
        <v>0</v>
      </c>
      <c r="K107" s="162"/>
      <c r="L107" s="335"/>
      <c r="M107" s="162">
        <f t="shared" si="16"/>
        <v>0</v>
      </c>
      <c r="N107" s="335"/>
      <c r="O107" s="162">
        <f t="shared" si="17"/>
        <v>0</v>
      </c>
      <c r="P107" s="162">
        <f t="shared" si="18"/>
        <v>0</v>
      </c>
    </row>
    <row r="108" spans="1:16">
      <c r="B108" s="9" t="str">
        <f t="shared" si="9"/>
        <v/>
      </c>
      <c r="C108" s="157">
        <f>IF(D93="","-",+C107+1)</f>
        <v>2023</v>
      </c>
      <c r="D108" s="158">
        <f>IF(F107+SUM(E$99:E107)=D$92,F107,D$92-SUM(E$99:E107))</f>
        <v>1825541.2366666663</v>
      </c>
      <c r="E108" s="164">
        <f t="shared" si="10"/>
        <v>48840</v>
      </c>
      <c r="F108" s="163">
        <f t="shared" si="11"/>
        <v>1776701.2366666663</v>
      </c>
      <c r="G108" s="163">
        <f t="shared" si="12"/>
        <v>1801121.2366666663</v>
      </c>
      <c r="H108" s="167">
        <f t="shared" si="13"/>
        <v>277316.77039997838</v>
      </c>
      <c r="I108" s="317">
        <f t="shared" si="14"/>
        <v>277316.77039997838</v>
      </c>
      <c r="J108" s="162">
        <f t="shared" si="15"/>
        <v>0</v>
      </c>
      <c r="K108" s="162"/>
      <c r="L108" s="335"/>
      <c r="M108" s="162">
        <f t="shared" si="16"/>
        <v>0</v>
      </c>
      <c r="N108" s="335"/>
      <c r="O108" s="162">
        <f t="shared" si="17"/>
        <v>0</v>
      </c>
      <c r="P108" s="162">
        <f t="shared" si="18"/>
        <v>0</v>
      </c>
    </row>
    <row r="109" spans="1:16">
      <c r="B109" s="9" t="str">
        <f t="shared" si="9"/>
        <v/>
      </c>
      <c r="C109" s="157">
        <f>IF(D93="","-",+C108+1)</f>
        <v>2024</v>
      </c>
      <c r="D109" s="158">
        <f>IF(F108+SUM(E$99:E108)=D$92,F108,D$92-SUM(E$99:E108))</f>
        <v>1776701.2366666663</v>
      </c>
      <c r="E109" s="164">
        <f t="shared" si="10"/>
        <v>48840</v>
      </c>
      <c r="F109" s="163">
        <f t="shared" si="11"/>
        <v>1727861.2366666663</v>
      </c>
      <c r="G109" s="163">
        <f t="shared" si="12"/>
        <v>1752281.2366666663</v>
      </c>
      <c r="H109" s="167">
        <f t="shared" si="13"/>
        <v>271121.29324987461</v>
      </c>
      <c r="I109" s="317">
        <f t="shared" si="14"/>
        <v>271121.29324987461</v>
      </c>
      <c r="J109" s="162">
        <f t="shared" si="15"/>
        <v>0</v>
      </c>
      <c r="K109" s="162"/>
      <c r="L109" s="335"/>
      <c r="M109" s="162">
        <f t="shared" si="16"/>
        <v>0</v>
      </c>
      <c r="N109" s="335"/>
      <c r="O109" s="162">
        <f t="shared" si="17"/>
        <v>0</v>
      </c>
      <c r="P109" s="162">
        <f t="shared" si="18"/>
        <v>0</v>
      </c>
    </row>
    <row r="110" spans="1:16">
      <c r="B110" s="9" t="str">
        <f t="shared" si="9"/>
        <v/>
      </c>
      <c r="C110" s="157">
        <f>IF(D93="","-",+C109+1)</f>
        <v>2025</v>
      </c>
      <c r="D110" s="158">
        <f>IF(F109+SUM(E$99:E109)=D$92,F109,D$92-SUM(E$99:E109))</f>
        <v>1727861.2366666663</v>
      </c>
      <c r="E110" s="164">
        <f t="shared" si="10"/>
        <v>48840</v>
      </c>
      <c r="F110" s="163">
        <f t="shared" si="11"/>
        <v>1679021.2366666663</v>
      </c>
      <c r="G110" s="163">
        <f t="shared" si="12"/>
        <v>1703441.2366666663</v>
      </c>
      <c r="H110" s="167">
        <f t="shared" si="13"/>
        <v>264925.81609977083</v>
      </c>
      <c r="I110" s="317">
        <f t="shared" si="14"/>
        <v>264925.81609977083</v>
      </c>
      <c r="J110" s="162">
        <f t="shared" si="15"/>
        <v>0</v>
      </c>
      <c r="K110" s="162"/>
      <c r="L110" s="335"/>
      <c r="M110" s="162">
        <f t="shared" si="16"/>
        <v>0</v>
      </c>
      <c r="N110" s="335"/>
      <c r="O110" s="162">
        <f t="shared" si="17"/>
        <v>0</v>
      </c>
      <c r="P110" s="162">
        <f t="shared" si="18"/>
        <v>0</v>
      </c>
    </row>
    <row r="111" spans="1:16">
      <c r="B111" s="9" t="str">
        <f t="shared" si="9"/>
        <v/>
      </c>
      <c r="C111" s="157">
        <f>IF(D93="","-",+C110+1)</f>
        <v>2026</v>
      </c>
      <c r="D111" s="158">
        <f>IF(F110+SUM(E$99:E110)=D$92,F110,D$92-SUM(E$99:E110))</f>
        <v>1679021.2366666663</v>
      </c>
      <c r="E111" s="164">
        <f t="shared" si="10"/>
        <v>48840</v>
      </c>
      <c r="F111" s="163">
        <f t="shared" si="11"/>
        <v>1630181.2366666663</v>
      </c>
      <c r="G111" s="163">
        <f t="shared" si="12"/>
        <v>1654601.2366666663</v>
      </c>
      <c r="H111" s="167">
        <f t="shared" si="13"/>
        <v>258730.33894966712</v>
      </c>
      <c r="I111" s="317">
        <f t="shared" si="14"/>
        <v>258730.33894966712</v>
      </c>
      <c r="J111" s="162">
        <f t="shared" si="15"/>
        <v>0</v>
      </c>
      <c r="K111" s="162"/>
      <c r="L111" s="335"/>
      <c r="M111" s="162">
        <f t="shared" si="16"/>
        <v>0</v>
      </c>
      <c r="N111" s="335"/>
      <c r="O111" s="162">
        <f t="shared" si="17"/>
        <v>0</v>
      </c>
      <c r="P111" s="162">
        <f t="shared" si="18"/>
        <v>0</v>
      </c>
    </row>
    <row r="112" spans="1:16">
      <c r="B112" s="9" t="str">
        <f t="shared" si="9"/>
        <v/>
      </c>
      <c r="C112" s="157">
        <f>IF(D93="","-",+C111+1)</f>
        <v>2027</v>
      </c>
      <c r="D112" s="158">
        <f>IF(F111+SUM(E$99:E111)=D$92,F111,D$92-SUM(E$99:E111))</f>
        <v>1630181.2366666663</v>
      </c>
      <c r="E112" s="164">
        <f t="shared" si="10"/>
        <v>48840</v>
      </c>
      <c r="F112" s="163">
        <f t="shared" si="11"/>
        <v>1581341.2366666663</v>
      </c>
      <c r="G112" s="163">
        <f t="shared" si="12"/>
        <v>1605761.2366666663</v>
      </c>
      <c r="H112" s="167">
        <f t="shared" si="13"/>
        <v>252534.86179956337</v>
      </c>
      <c r="I112" s="317">
        <f t="shared" si="14"/>
        <v>252534.86179956337</v>
      </c>
      <c r="J112" s="162">
        <f t="shared" si="15"/>
        <v>0</v>
      </c>
      <c r="K112" s="162"/>
      <c r="L112" s="335"/>
      <c r="M112" s="162">
        <f t="shared" si="16"/>
        <v>0</v>
      </c>
      <c r="N112" s="335"/>
      <c r="O112" s="162">
        <f t="shared" si="17"/>
        <v>0</v>
      </c>
      <c r="P112" s="162">
        <f t="shared" si="18"/>
        <v>0</v>
      </c>
    </row>
    <row r="113" spans="2:16">
      <c r="B113" s="9" t="str">
        <f t="shared" si="9"/>
        <v/>
      </c>
      <c r="C113" s="157">
        <f>IF(D93="","-",+C112+1)</f>
        <v>2028</v>
      </c>
      <c r="D113" s="158">
        <f>IF(F112+SUM(E$99:E112)=D$92,F112,D$92-SUM(E$99:E112))</f>
        <v>1581341.2366666663</v>
      </c>
      <c r="E113" s="164">
        <f t="shared" si="10"/>
        <v>48840</v>
      </c>
      <c r="F113" s="163">
        <f t="shared" si="11"/>
        <v>1532501.2366666663</v>
      </c>
      <c r="G113" s="163">
        <f t="shared" si="12"/>
        <v>1556921.2366666663</v>
      </c>
      <c r="H113" s="167">
        <f t="shared" si="13"/>
        <v>246339.38464945959</v>
      </c>
      <c r="I113" s="317">
        <f t="shared" si="14"/>
        <v>246339.38464945959</v>
      </c>
      <c r="J113" s="162">
        <f t="shared" si="15"/>
        <v>0</v>
      </c>
      <c r="K113" s="162"/>
      <c r="L113" s="335"/>
      <c r="M113" s="162">
        <f t="shared" si="16"/>
        <v>0</v>
      </c>
      <c r="N113" s="335"/>
      <c r="O113" s="162">
        <f t="shared" si="17"/>
        <v>0</v>
      </c>
      <c r="P113" s="162">
        <f t="shared" si="18"/>
        <v>0</v>
      </c>
    </row>
    <row r="114" spans="2:16">
      <c r="B114" s="9" t="str">
        <f t="shared" si="9"/>
        <v/>
      </c>
      <c r="C114" s="157">
        <f>IF(D93="","-",+C113+1)</f>
        <v>2029</v>
      </c>
      <c r="D114" s="158">
        <f>IF(F113+SUM(E$99:E113)=D$92,F113,D$92-SUM(E$99:E113))</f>
        <v>1532501.2366666663</v>
      </c>
      <c r="E114" s="164">
        <f t="shared" si="10"/>
        <v>48840</v>
      </c>
      <c r="F114" s="163">
        <f t="shared" si="11"/>
        <v>1483661.2366666663</v>
      </c>
      <c r="G114" s="163">
        <f t="shared" si="12"/>
        <v>1508081.2366666663</v>
      </c>
      <c r="H114" s="167">
        <f t="shared" si="13"/>
        <v>240143.90749935585</v>
      </c>
      <c r="I114" s="317">
        <f t="shared" si="14"/>
        <v>240143.90749935585</v>
      </c>
      <c r="J114" s="162">
        <f t="shared" si="15"/>
        <v>0</v>
      </c>
      <c r="K114" s="162"/>
      <c r="L114" s="335"/>
      <c r="M114" s="162">
        <f t="shared" si="16"/>
        <v>0</v>
      </c>
      <c r="N114" s="335"/>
      <c r="O114" s="162">
        <f t="shared" si="17"/>
        <v>0</v>
      </c>
      <c r="P114" s="162">
        <f t="shared" si="18"/>
        <v>0</v>
      </c>
    </row>
    <row r="115" spans="2:16">
      <c r="B115" s="9" t="str">
        <f t="shared" si="9"/>
        <v/>
      </c>
      <c r="C115" s="157">
        <f>IF(D93="","-",+C114+1)</f>
        <v>2030</v>
      </c>
      <c r="D115" s="158">
        <f>IF(F114+SUM(E$99:E114)=D$92,F114,D$92-SUM(E$99:E114))</f>
        <v>1483661.2366666663</v>
      </c>
      <c r="E115" s="164">
        <f t="shared" si="10"/>
        <v>48840</v>
      </c>
      <c r="F115" s="163">
        <f t="shared" si="11"/>
        <v>1434821.2366666663</v>
      </c>
      <c r="G115" s="163">
        <f t="shared" si="12"/>
        <v>1459241.2366666663</v>
      </c>
      <c r="H115" s="167">
        <f t="shared" si="13"/>
        <v>233948.4303492521</v>
      </c>
      <c r="I115" s="317">
        <f t="shared" si="14"/>
        <v>233948.4303492521</v>
      </c>
      <c r="J115" s="162">
        <f t="shared" si="15"/>
        <v>0</v>
      </c>
      <c r="K115" s="162"/>
      <c r="L115" s="335"/>
      <c r="M115" s="162">
        <f t="shared" si="16"/>
        <v>0</v>
      </c>
      <c r="N115" s="335"/>
      <c r="O115" s="162">
        <f t="shared" si="17"/>
        <v>0</v>
      </c>
      <c r="P115" s="162">
        <f t="shared" si="18"/>
        <v>0</v>
      </c>
    </row>
    <row r="116" spans="2:16">
      <c r="B116" s="9" t="str">
        <f t="shared" si="9"/>
        <v/>
      </c>
      <c r="C116" s="157">
        <f>IF(D93="","-",+C115+1)</f>
        <v>2031</v>
      </c>
      <c r="D116" s="158">
        <f>IF(F115+SUM(E$99:E115)=D$92,F115,D$92-SUM(E$99:E115))</f>
        <v>1434821.2366666663</v>
      </c>
      <c r="E116" s="164">
        <f t="shared" si="10"/>
        <v>48840</v>
      </c>
      <c r="F116" s="163">
        <f t="shared" si="11"/>
        <v>1385981.2366666663</v>
      </c>
      <c r="G116" s="163">
        <f t="shared" si="12"/>
        <v>1410401.2366666663</v>
      </c>
      <c r="H116" s="167">
        <f t="shared" si="13"/>
        <v>227752.95319914835</v>
      </c>
      <c r="I116" s="317">
        <f t="shared" si="14"/>
        <v>227752.95319914835</v>
      </c>
      <c r="J116" s="162">
        <f t="shared" si="15"/>
        <v>0</v>
      </c>
      <c r="K116" s="162"/>
      <c r="L116" s="335"/>
      <c r="M116" s="162">
        <f t="shared" si="16"/>
        <v>0</v>
      </c>
      <c r="N116" s="335"/>
      <c r="O116" s="162">
        <f t="shared" si="17"/>
        <v>0</v>
      </c>
      <c r="P116" s="162">
        <f t="shared" si="18"/>
        <v>0</v>
      </c>
    </row>
    <row r="117" spans="2:16">
      <c r="B117" s="9" t="str">
        <f t="shared" si="9"/>
        <v/>
      </c>
      <c r="C117" s="157">
        <f>IF(D93="","-",+C116+1)</f>
        <v>2032</v>
      </c>
      <c r="D117" s="158">
        <f>IF(F116+SUM(E$99:E116)=D$92,F116,D$92-SUM(E$99:E116))</f>
        <v>1385981.2366666663</v>
      </c>
      <c r="E117" s="164">
        <f t="shared" si="10"/>
        <v>48840</v>
      </c>
      <c r="F117" s="163">
        <f t="shared" si="11"/>
        <v>1337141.2366666663</v>
      </c>
      <c r="G117" s="163">
        <f t="shared" si="12"/>
        <v>1361561.2366666663</v>
      </c>
      <c r="H117" s="167">
        <f t="shared" si="13"/>
        <v>221557.47604904461</v>
      </c>
      <c r="I117" s="317">
        <f t="shared" si="14"/>
        <v>221557.47604904461</v>
      </c>
      <c r="J117" s="162">
        <f t="shared" si="15"/>
        <v>0</v>
      </c>
      <c r="K117" s="162"/>
      <c r="L117" s="335"/>
      <c r="M117" s="162">
        <f t="shared" si="16"/>
        <v>0</v>
      </c>
      <c r="N117" s="335"/>
      <c r="O117" s="162">
        <f t="shared" si="17"/>
        <v>0</v>
      </c>
      <c r="P117" s="162">
        <f t="shared" si="18"/>
        <v>0</v>
      </c>
    </row>
    <row r="118" spans="2:16">
      <c r="B118" s="9" t="str">
        <f t="shared" si="9"/>
        <v/>
      </c>
      <c r="C118" s="157">
        <f>IF(D93="","-",+C117+1)</f>
        <v>2033</v>
      </c>
      <c r="D118" s="158">
        <f>IF(F117+SUM(E$99:E117)=D$92,F117,D$92-SUM(E$99:E117))</f>
        <v>1337141.2366666663</v>
      </c>
      <c r="E118" s="164">
        <f t="shared" si="10"/>
        <v>48840</v>
      </c>
      <c r="F118" s="163">
        <f t="shared" si="11"/>
        <v>1288301.2366666663</v>
      </c>
      <c r="G118" s="163">
        <f t="shared" si="12"/>
        <v>1312721.2366666663</v>
      </c>
      <c r="H118" s="167">
        <f t="shared" si="13"/>
        <v>215361.99889894083</v>
      </c>
      <c r="I118" s="317">
        <f t="shared" si="14"/>
        <v>215361.99889894083</v>
      </c>
      <c r="J118" s="162">
        <f t="shared" si="15"/>
        <v>0</v>
      </c>
      <c r="K118" s="162"/>
      <c r="L118" s="335"/>
      <c r="M118" s="162">
        <f t="shared" si="16"/>
        <v>0</v>
      </c>
      <c r="N118" s="335"/>
      <c r="O118" s="162">
        <f t="shared" si="17"/>
        <v>0</v>
      </c>
      <c r="P118" s="162">
        <f t="shared" si="18"/>
        <v>0</v>
      </c>
    </row>
    <row r="119" spans="2:16">
      <c r="B119" s="9" t="str">
        <f t="shared" si="9"/>
        <v/>
      </c>
      <c r="C119" s="157">
        <f>IF(D93="","-",+C118+1)</f>
        <v>2034</v>
      </c>
      <c r="D119" s="158">
        <f>IF(F118+SUM(E$99:E118)=D$92,F118,D$92-SUM(E$99:E118))</f>
        <v>1288301.2366666663</v>
      </c>
      <c r="E119" s="164">
        <f t="shared" si="10"/>
        <v>48840</v>
      </c>
      <c r="F119" s="163">
        <f t="shared" si="11"/>
        <v>1239461.2366666663</v>
      </c>
      <c r="G119" s="163">
        <f t="shared" si="12"/>
        <v>1263881.2366666663</v>
      </c>
      <c r="H119" s="167">
        <f t="shared" si="13"/>
        <v>209166.52174883708</v>
      </c>
      <c r="I119" s="317">
        <f t="shared" si="14"/>
        <v>209166.52174883708</v>
      </c>
      <c r="J119" s="162">
        <f t="shared" si="15"/>
        <v>0</v>
      </c>
      <c r="K119" s="162"/>
      <c r="L119" s="335"/>
      <c r="M119" s="162">
        <f t="shared" si="16"/>
        <v>0</v>
      </c>
      <c r="N119" s="335"/>
      <c r="O119" s="162">
        <f t="shared" si="17"/>
        <v>0</v>
      </c>
      <c r="P119" s="162">
        <f t="shared" si="18"/>
        <v>0</v>
      </c>
    </row>
    <row r="120" spans="2:16">
      <c r="B120" s="9" t="str">
        <f t="shared" si="9"/>
        <v/>
      </c>
      <c r="C120" s="157">
        <f>IF(D93="","-",+C119+1)</f>
        <v>2035</v>
      </c>
      <c r="D120" s="158">
        <f>IF(F119+SUM(E$99:E119)=D$92,F119,D$92-SUM(E$99:E119))</f>
        <v>1239461.2366666663</v>
      </c>
      <c r="E120" s="164">
        <f t="shared" si="10"/>
        <v>48840</v>
      </c>
      <c r="F120" s="163">
        <f t="shared" si="11"/>
        <v>1190621.2366666663</v>
      </c>
      <c r="G120" s="163">
        <f t="shared" si="12"/>
        <v>1215041.2366666663</v>
      </c>
      <c r="H120" s="167">
        <f t="shared" si="13"/>
        <v>202971.04459873334</v>
      </c>
      <c r="I120" s="317">
        <f t="shared" si="14"/>
        <v>202971.04459873334</v>
      </c>
      <c r="J120" s="162">
        <f t="shared" si="15"/>
        <v>0</v>
      </c>
      <c r="K120" s="162"/>
      <c r="L120" s="335"/>
      <c r="M120" s="162">
        <f t="shared" si="16"/>
        <v>0</v>
      </c>
      <c r="N120" s="335"/>
      <c r="O120" s="162">
        <f t="shared" si="17"/>
        <v>0</v>
      </c>
      <c r="P120" s="162">
        <f t="shared" si="18"/>
        <v>0</v>
      </c>
    </row>
    <row r="121" spans="2:16">
      <c r="B121" s="9" t="str">
        <f t="shared" si="9"/>
        <v/>
      </c>
      <c r="C121" s="157">
        <f>IF(D93="","-",+C120+1)</f>
        <v>2036</v>
      </c>
      <c r="D121" s="158">
        <f>IF(F120+SUM(E$99:E120)=D$92,F120,D$92-SUM(E$99:E120))</f>
        <v>1190621.2366666663</v>
      </c>
      <c r="E121" s="164">
        <f t="shared" si="10"/>
        <v>48840</v>
      </c>
      <c r="F121" s="163">
        <f t="shared" si="11"/>
        <v>1141781.2366666663</v>
      </c>
      <c r="G121" s="163">
        <f t="shared" si="12"/>
        <v>1166201.2366666663</v>
      </c>
      <c r="H121" s="167">
        <f t="shared" si="13"/>
        <v>196775.56744862959</v>
      </c>
      <c r="I121" s="317">
        <f t="shared" si="14"/>
        <v>196775.56744862959</v>
      </c>
      <c r="J121" s="162">
        <f t="shared" si="15"/>
        <v>0</v>
      </c>
      <c r="K121" s="162"/>
      <c r="L121" s="335"/>
      <c r="M121" s="162">
        <f t="shared" si="16"/>
        <v>0</v>
      </c>
      <c r="N121" s="335"/>
      <c r="O121" s="162">
        <f t="shared" si="17"/>
        <v>0</v>
      </c>
      <c r="P121" s="162">
        <f t="shared" si="18"/>
        <v>0</v>
      </c>
    </row>
    <row r="122" spans="2:16">
      <c r="B122" s="9" t="str">
        <f t="shared" si="9"/>
        <v/>
      </c>
      <c r="C122" s="157">
        <f>IF(D93="","-",+C121+1)</f>
        <v>2037</v>
      </c>
      <c r="D122" s="158">
        <f>IF(F121+SUM(E$99:E121)=D$92,F121,D$92-SUM(E$99:E121))</f>
        <v>1141781.2366666663</v>
      </c>
      <c r="E122" s="164">
        <f t="shared" si="10"/>
        <v>48840</v>
      </c>
      <c r="F122" s="163">
        <f t="shared" si="11"/>
        <v>1092941.2366666663</v>
      </c>
      <c r="G122" s="163">
        <f t="shared" si="12"/>
        <v>1117361.2366666663</v>
      </c>
      <c r="H122" s="167">
        <f t="shared" si="13"/>
        <v>190580.09029852584</v>
      </c>
      <c r="I122" s="317">
        <f t="shared" si="14"/>
        <v>190580.09029852584</v>
      </c>
      <c r="J122" s="162">
        <f t="shared" si="15"/>
        <v>0</v>
      </c>
      <c r="K122" s="162"/>
      <c r="L122" s="335"/>
      <c r="M122" s="162">
        <f t="shared" si="16"/>
        <v>0</v>
      </c>
      <c r="N122" s="335"/>
      <c r="O122" s="162">
        <f t="shared" si="17"/>
        <v>0</v>
      </c>
      <c r="P122" s="162">
        <f t="shared" si="18"/>
        <v>0</v>
      </c>
    </row>
    <row r="123" spans="2:16">
      <c r="B123" s="9" t="str">
        <f t="shared" si="9"/>
        <v/>
      </c>
      <c r="C123" s="157">
        <f>IF(D93="","-",+C122+1)</f>
        <v>2038</v>
      </c>
      <c r="D123" s="158">
        <f>IF(F122+SUM(E$99:E122)=D$92,F122,D$92-SUM(E$99:E122))</f>
        <v>1092941.2366666663</v>
      </c>
      <c r="E123" s="164">
        <f t="shared" si="10"/>
        <v>48840</v>
      </c>
      <c r="F123" s="163">
        <f t="shared" si="11"/>
        <v>1044101.2366666663</v>
      </c>
      <c r="G123" s="163">
        <f t="shared" si="12"/>
        <v>1068521.2366666663</v>
      </c>
      <c r="H123" s="167">
        <f t="shared" si="13"/>
        <v>184384.6131484221</v>
      </c>
      <c r="I123" s="317">
        <f t="shared" si="14"/>
        <v>184384.6131484221</v>
      </c>
      <c r="J123" s="162">
        <f t="shared" si="15"/>
        <v>0</v>
      </c>
      <c r="K123" s="162"/>
      <c r="L123" s="335"/>
      <c r="M123" s="162">
        <f t="shared" si="16"/>
        <v>0</v>
      </c>
      <c r="N123" s="335"/>
      <c r="O123" s="162">
        <f t="shared" si="17"/>
        <v>0</v>
      </c>
      <c r="P123" s="162">
        <f t="shared" si="18"/>
        <v>0</v>
      </c>
    </row>
    <row r="124" spans="2:16">
      <c r="B124" s="9" t="str">
        <f t="shared" si="9"/>
        <v/>
      </c>
      <c r="C124" s="157">
        <f>IF(D93="","-",+C123+1)</f>
        <v>2039</v>
      </c>
      <c r="D124" s="158">
        <f>IF(F123+SUM(E$99:E123)=D$92,F123,D$92-SUM(E$99:E123))</f>
        <v>1044101.2366666663</v>
      </c>
      <c r="E124" s="164">
        <f t="shared" si="10"/>
        <v>48840</v>
      </c>
      <c r="F124" s="163">
        <f t="shared" si="11"/>
        <v>995261.23666666634</v>
      </c>
      <c r="G124" s="163">
        <f t="shared" si="12"/>
        <v>1019681.2366666663</v>
      </c>
      <c r="H124" s="167">
        <f t="shared" si="13"/>
        <v>178189.13599831832</v>
      </c>
      <c r="I124" s="317">
        <f t="shared" si="14"/>
        <v>178189.13599831832</v>
      </c>
      <c r="J124" s="162">
        <f t="shared" si="15"/>
        <v>0</v>
      </c>
      <c r="K124" s="162"/>
      <c r="L124" s="335"/>
      <c r="M124" s="162">
        <f t="shared" si="16"/>
        <v>0</v>
      </c>
      <c r="N124" s="335"/>
      <c r="O124" s="162">
        <f t="shared" si="17"/>
        <v>0</v>
      </c>
      <c r="P124" s="162">
        <f t="shared" si="18"/>
        <v>0</v>
      </c>
    </row>
    <row r="125" spans="2:16">
      <c r="B125" s="9" t="str">
        <f t="shared" si="9"/>
        <v/>
      </c>
      <c r="C125" s="157">
        <f>IF(D93="","-",+C124+1)</f>
        <v>2040</v>
      </c>
      <c r="D125" s="158">
        <f>IF(F124+SUM(E$99:E124)=D$92,F124,D$92-SUM(E$99:E124))</f>
        <v>995261.23666666634</v>
      </c>
      <c r="E125" s="164">
        <f t="shared" si="10"/>
        <v>48840</v>
      </c>
      <c r="F125" s="163">
        <f t="shared" si="11"/>
        <v>946421.23666666634</v>
      </c>
      <c r="G125" s="163">
        <f t="shared" si="12"/>
        <v>970841.23666666634</v>
      </c>
      <c r="H125" s="167">
        <f t="shared" si="13"/>
        <v>171993.65884821457</v>
      </c>
      <c r="I125" s="317">
        <f t="shared" si="14"/>
        <v>171993.65884821457</v>
      </c>
      <c r="J125" s="162">
        <f t="shared" si="15"/>
        <v>0</v>
      </c>
      <c r="K125" s="162"/>
      <c r="L125" s="335"/>
      <c r="M125" s="162">
        <f t="shared" si="16"/>
        <v>0</v>
      </c>
      <c r="N125" s="335"/>
      <c r="O125" s="162">
        <f t="shared" si="17"/>
        <v>0</v>
      </c>
      <c r="P125" s="162">
        <f t="shared" si="18"/>
        <v>0</v>
      </c>
    </row>
    <row r="126" spans="2:16">
      <c r="B126" s="9" t="str">
        <f t="shared" si="9"/>
        <v/>
      </c>
      <c r="C126" s="157">
        <f>IF(D93="","-",+C125+1)</f>
        <v>2041</v>
      </c>
      <c r="D126" s="158">
        <f>IF(F125+SUM(E$99:E125)=D$92,F125,D$92-SUM(E$99:E125))</f>
        <v>946421.23666666634</v>
      </c>
      <c r="E126" s="164">
        <f t="shared" si="10"/>
        <v>48840</v>
      </c>
      <c r="F126" s="163">
        <f t="shared" si="11"/>
        <v>897581.23666666634</v>
      </c>
      <c r="G126" s="163">
        <f t="shared" si="12"/>
        <v>922001.23666666634</v>
      </c>
      <c r="H126" s="167">
        <f t="shared" si="13"/>
        <v>165798.18169811083</v>
      </c>
      <c r="I126" s="317">
        <f t="shared" si="14"/>
        <v>165798.18169811083</v>
      </c>
      <c r="J126" s="162">
        <f t="shared" si="15"/>
        <v>0</v>
      </c>
      <c r="K126" s="162"/>
      <c r="L126" s="335"/>
      <c r="M126" s="162">
        <f t="shared" si="16"/>
        <v>0</v>
      </c>
      <c r="N126" s="335"/>
      <c r="O126" s="162">
        <f t="shared" si="17"/>
        <v>0</v>
      </c>
      <c r="P126" s="162">
        <f t="shared" si="18"/>
        <v>0</v>
      </c>
    </row>
    <row r="127" spans="2:16">
      <c r="B127" s="9" t="str">
        <f t="shared" si="9"/>
        <v/>
      </c>
      <c r="C127" s="157">
        <f>IF(D93="","-",+C126+1)</f>
        <v>2042</v>
      </c>
      <c r="D127" s="158">
        <f>IF(F126+SUM(E$99:E126)=D$92,F126,D$92-SUM(E$99:E126))</f>
        <v>897581.23666666634</v>
      </c>
      <c r="E127" s="164">
        <f t="shared" si="10"/>
        <v>48840</v>
      </c>
      <c r="F127" s="163">
        <f t="shared" si="11"/>
        <v>848741.23666666634</v>
      </c>
      <c r="G127" s="163">
        <f t="shared" si="12"/>
        <v>873161.23666666634</v>
      </c>
      <c r="H127" s="167">
        <f t="shared" si="13"/>
        <v>159602.70454800708</v>
      </c>
      <c r="I127" s="317">
        <f t="shared" si="14"/>
        <v>159602.70454800708</v>
      </c>
      <c r="J127" s="162">
        <f t="shared" si="15"/>
        <v>0</v>
      </c>
      <c r="K127" s="162"/>
      <c r="L127" s="335"/>
      <c r="M127" s="162">
        <f t="shared" si="16"/>
        <v>0</v>
      </c>
      <c r="N127" s="335"/>
      <c r="O127" s="162">
        <f t="shared" si="17"/>
        <v>0</v>
      </c>
      <c r="P127" s="162">
        <f t="shared" si="18"/>
        <v>0</v>
      </c>
    </row>
    <row r="128" spans="2:16">
      <c r="B128" s="9" t="str">
        <f t="shared" si="9"/>
        <v/>
      </c>
      <c r="C128" s="157">
        <f>IF(D93="","-",+C127+1)</f>
        <v>2043</v>
      </c>
      <c r="D128" s="158">
        <f>IF(F127+SUM(E$99:E127)=D$92,F127,D$92-SUM(E$99:E127))</f>
        <v>848741.23666666634</v>
      </c>
      <c r="E128" s="164">
        <f t="shared" si="10"/>
        <v>48840</v>
      </c>
      <c r="F128" s="163">
        <f t="shared" si="11"/>
        <v>799901.23666666634</v>
      </c>
      <c r="G128" s="163">
        <f t="shared" si="12"/>
        <v>824321.23666666634</v>
      </c>
      <c r="H128" s="167">
        <f t="shared" si="13"/>
        <v>153407.22739790333</v>
      </c>
      <c r="I128" s="317">
        <f t="shared" si="14"/>
        <v>153407.22739790333</v>
      </c>
      <c r="J128" s="162">
        <f t="shared" si="15"/>
        <v>0</v>
      </c>
      <c r="K128" s="162"/>
      <c r="L128" s="335"/>
      <c r="M128" s="162">
        <f t="shared" si="16"/>
        <v>0</v>
      </c>
      <c r="N128" s="335"/>
      <c r="O128" s="162">
        <f t="shared" si="17"/>
        <v>0</v>
      </c>
      <c r="P128" s="162">
        <f t="shared" si="18"/>
        <v>0</v>
      </c>
    </row>
    <row r="129" spans="2:16">
      <c r="B129" s="9" t="str">
        <f t="shared" si="9"/>
        <v/>
      </c>
      <c r="C129" s="157">
        <f>IF(D93="","-",+C128+1)</f>
        <v>2044</v>
      </c>
      <c r="D129" s="158">
        <f>IF(F128+SUM(E$99:E128)=D$92,F128,D$92-SUM(E$99:E128))</f>
        <v>799901.23666666634</v>
      </c>
      <c r="E129" s="164">
        <f t="shared" si="10"/>
        <v>48840</v>
      </c>
      <c r="F129" s="163">
        <f t="shared" si="11"/>
        <v>751061.23666666634</v>
      </c>
      <c r="G129" s="163">
        <f t="shared" si="12"/>
        <v>775481.23666666634</v>
      </c>
      <c r="H129" s="167">
        <f t="shared" si="13"/>
        <v>147211.75024779956</v>
      </c>
      <c r="I129" s="317">
        <f t="shared" si="14"/>
        <v>147211.75024779956</v>
      </c>
      <c r="J129" s="162">
        <f t="shared" si="15"/>
        <v>0</v>
      </c>
      <c r="K129" s="162"/>
      <c r="L129" s="335"/>
      <c r="M129" s="162">
        <f t="shared" si="16"/>
        <v>0</v>
      </c>
      <c r="N129" s="335"/>
      <c r="O129" s="162">
        <f t="shared" si="17"/>
        <v>0</v>
      </c>
      <c r="P129" s="162">
        <f t="shared" si="18"/>
        <v>0</v>
      </c>
    </row>
    <row r="130" spans="2:16">
      <c r="B130" s="9" t="str">
        <f t="shared" si="9"/>
        <v/>
      </c>
      <c r="C130" s="157">
        <f>IF(D93="","-",+C129+1)</f>
        <v>2045</v>
      </c>
      <c r="D130" s="158">
        <f>IF(F129+SUM(E$99:E129)=D$92,F129,D$92-SUM(E$99:E129))</f>
        <v>751061.23666666634</v>
      </c>
      <c r="E130" s="164">
        <f t="shared" si="10"/>
        <v>48840</v>
      </c>
      <c r="F130" s="163">
        <f t="shared" si="11"/>
        <v>702221.23666666634</v>
      </c>
      <c r="G130" s="163">
        <f t="shared" si="12"/>
        <v>726641.23666666634</v>
      </c>
      <c r="H130" s="167">
        <f t="shared" si="13"/>
        <v>141016.27309769584</v>
      </c>
      <c r="I130" s="317">
        <f t="shared" si="14"/>
        <v>141016.27309769584</v>
      </c>
      <c r="J130" s="162">
        <f t="shared" si="15"/>
        <v>0</v>
      </c>
      <c r="K130" s="162"/>
      <c r="L130" s="335"/>
      <c r="M130" s="162">
        <f t="shared" si="16"/>
        <v>0</v>
      </c>
      <c r="N130" s="335"/>
      <c r="O130" s="162">
        <f t="shared" si="17"/>
        <v>0</v>
      </c>
      <c r="P130" s="162">
        <f t="shared" si="18"/>
        <v>0</v>
      </c>
    </row>
    <row r="131" spans="2:16">
      <c r="B131" s="9" t="str">
        <f t="shared" si="9"/>
        <v/>
      </c>
      <c r="C131" s="157">
        <f>IF(D93="","-",+C130+1)</f>
        <v>2046</v>
      </c>
      <c r="D131" s="158">
        <f>IF(F130+SUM(E$99:E130)=D$92,F130,D$92-SUM(E$99:E130))</f>
        <v>702221.23666666634</v>
      </c>
      <c r="E131" s="164">
        <f t="shared" si="10"/>
        <v>48840</v>
      </c>
      <c r="F131" s="163">
        <f t="shared" si="11"/>
        <v>653381.23666666634</v>
      </c>
      <c r="G131" s="163">
        <f t="shared" si="12"/>
        <v>677801.23666666634</v>
      </c>
      <c r="H131" s="167">
        <f t="shared" si="13"/>
        <v>134820.79594759207</v>
      </c>
      <c r="I131" s="317">
        <f t="shared" si="14"/>
        <v>134820.79594759207</v>
      </c>
      <c r="J131" s="162">
        <f t="shared" si="15"/>
        <v>0</v>
      </c>
      <c r="K131" s="162"/>
      <c r="L131" s="335"/>
      <c r="M131" s="162">
        <f t="shared" ref="M131:M154" si="19">IF(L541&lt;&gt;0,+H541-L541,0)</f>
        <v>0</v>
      </c>
      <c r="N131" s="335"/>
      <c r="O131" s="162">
        <f t="shared" ref="O131:O154" si="20">IF(N541&lt;&gt;0,+I541-N541,0)</f>
        <v>0</v>
      </c>
      <c r="P131" s="162">
        <f t="shared" ref="P131:P154" si="21">+O541-M541</f>
        <v>0</v>
      </c>
    </row>
    <row r="132" spans="2:16">
      <c r="B132" s="9" t="str">
        <f t="shared" si="9"/>
        <v/>
      </c>
      <c r="C132" s="157">
        <f>IF(D93="","-",+C131+1)</f>
        <v>2047</v>
      </c>
      <c r="D132" s="158">
        <f>IF(F131+SUM(E$99:E131)=D$92,F131,D$92-SUM(E$99:E131))</f>
        <v>653381.23666666634</v>
      </c>
      <c r="E132" s="164">
        <f t="shared" si="10"/>
        <v>48840</v>
      </c>
      <c r="F132" s="163">
        <f t="shared" si="11"/>
        <v>604541.23666666634</v>
      </c>
      <c r="G132" s="163">
        <f t="shared" si="12"/>
        <v>628961.23666666634</v>
      </c>
      <c r="H132" s="167">
        <f t="shared" si="13"/>
        <v>128625.31879748832</v>
      </c>
      <c r="I132" s="317">
        <f t="shared" si="14"/>
        <v>128625.31879748832</v>
      </c>
      <c r="J132" s="162">
        <f t="shared" si="15"/>
        <v>0</v>
      </c>
      <c r="K132" s="162"/>
      <c r="L132" s="335"/>
      <c r="M132" s="162">
        <f t="shared" si="19"/>
        <v>0</v>
      </c>
      <c r="N132" s="335"/>
      <c r="O132" s="162">
        <f t="shared" si="20"/>
        <v>0</v>
      </c>
      <c r="P132" s="162">
        <f t="shared" si="21"/>
        <v>0</v>
      </c>
    </row>
    <row r="133" spans="2:16">
      <c r="B133" s="9" t="str">
        <f t="shared" si="9"/>
        <v/>
      </c>
      <c r="C133" s="157">
        <f>IF(D93="","-",+C132+1)</f>
        <v>2048</v>
      </c>
      <c r="D133" s="158">
        <f>IF(F132+SUM(E$99:E132)=D$92,F132,D$92-SUM(E$99:E132))</f>
        <v>604541.23666666634</v>
      </c>
      <c r="E133" s="164">
        <f t="shared" si="10"/>
        <v>48840</v>
      </c>
      <c r="F133" s="163">
        <f t="shared" si="11"/>
        <v>555701.23666666634</v>
      </c>
      <c r="G133" s="163">
        <f t="shared" si="12"/>
        <v>580121.23666666634</v>
      </c>
      <c r="H133" s="167">
        <f t="shared" si="13"/>
        <v>122429.84164738457</v>
      </c>
      <c r="I133" s="317">
        <f t="shared" si="14"/>
        <v>122429.84164738457</v>
      </c>
      <c r="J133" s="162">
        <f t="shared" si="15"/>
        <v>0</v>
      </c>
      <c r="K133" s="162"/>
      <c r="L133" s="335"/>
      <c r="M133" s="162">
        <f t="shared" si="19"/>
        <v>0</v>
      </c>
      <c r="N133" s="335"/>
      <c r="O133" s="162">
        <f t="shared" si="20"/>
        <v>0</v>
      </c>
      <c r="P133" s="162">
        <f t="shared" si="21"/>
        <v>0</v>
      </c>
    </row>
    <row r="134" spans="2:16">
      <c r="B134" s="9" t="str">
        <f t="shared" si="9"/>
        <v/>
      </c>
      <c r="C134" s="157">
        <f>IF(D93="","-",+C133+1)</f>
        <v>2049</v>
      </c>
      <c r="D134" s="158">
        <f>IF(F133+SUM(E$99:E133)=D$92,F133,D$92-SUM(E$99:E133))</f>
        <v>555701.23666666634</v>
      </c>
      <c r="E134" s="164">
        <f t="shared" si="10"/>
        <v>48840</v>
      </c>
      <c r="F134" s="163">
        <f t="shared" si="11"/>
        <v>506861.23666666634</v>
      </c>
      <c r="G134" s="163">
        <f t="shared" si="12"/>
        <v>531281.23666666634</v>
      </c>
      <c r="H134" s="167">
        <f t="shared" si="13"/>
        <v>116234.36449728081</v>
      </c>
      <c r="I134" s="317">
        <f t="shared" si="14"/>
        <v>116234.36449728081</v>
      </c>
      <c r="J134" s="162">
        <f t="shared" si="15"/>
        <v>0</v>
      </c>
      <c r="K134" s="162"/>
      <c r="L134" s="335"/>
      <c r="M134" s="162">
        <f t="shared" si="19"/>
        <v>0</v>
      </c>
      <c r="N134" s="335"/>
      <c r="O134" s="162">
        <f t="shared" si="20"/>
        <v>0</v>
      </c>
      <c r="P134" s="162">
        <f t="shared" si="21"/>
        <v>0</v>
      </c>
    </row>
    <row r="135" spans="2:16">
      <c r="B135" s="9" t="str">
        <f t="shared" si="9"/>
        <v/>
      </c>
      <c r="C135" s="157">
        <f>IF(D93="","-",+C134+1)</f>
        <v>2050</v>
      </c>
      <c r="D135" s="158">
        <f>IF(F134+SUM(E$99:E134)=D$92,F134,D$92-SUM(E$99:E134))</f>
        <v>506861.23666666634</v>
      </c>
      <c r="E135" s="164">
        <f t="shared" si="10"/>
        <v>48840</v>
      </c>
      <c r="F135" s="163">
        <f t="shared" si="11"/>
        <v>458021.23666666634</v>
      </c>
      <c r="G135" s="163">
        <f t="shared" si="12"/>
        <v>482441.23666666634</v>
      </c>
      <c r="H135" s="167">
        <f t="shared" si="13"/>
        <v>110038.88734717706</v>
      </c>
      <c r="I135" s="317">
        <f t="shared" si="14"/>
        <v>110038.88734717706</v>
      </c>
      <c r="J135" s="162">
        <f t="shared" si="15"/>
        <v>0</v>
      </c>
      <c r="K135" s="162"/>
      <c r="L135" s="335"/>
      <c r="M135" s="162">
        <f t="shared" si="19"/>
        <v>0</v>
      </c>
      <c r="N135" s="335"/>
      <c r="O135" s="162">
        <f t="shared" si="20"/>
        <v>0</v>
      </c>
      <c r="P135" s="162">
        <f t="shared" si="21"/>
        <v>0</v>
      </c>
    </row>
    <row r="136" spans="2:16">
      <c r="B136" s="9" t="str">
        <f t="shared" si="9"/>
        <v/>
      </c>
      <c r="C136" s="157">
        <f>IF(D93="","-",+C135+1)</f>
        <v>2051</v>
      </c>
      <c r="D136" s="158">
        <f>IF(F135+SUM(E$99:E135)=D$92,F135,D$92-SUM(E$99:E135))</f>
        <v>458021.23666666634</v>
      </c>
      <c r="E136" s="164">
        <f t="shared" si="10"/>
        <v>48840</v>
      </c>
      <c r="F136" s="163">
        <f t="shared" si="11"/>
        <v>409181.23666666634</v>
      </c>
      <c r="G136" s="163">
        <f t="shared" si="12"/>
        <v>433601.23666666634</v>
      </c>
      <c r="H136" s="167">
        <f t="shared" si="13"/>
        <v>103843.4101970733</v>
      </c>
      <c r="I136" s="317">
        <f t="shared" si="14"/>
        <v>103843.4101970733</v>
      </c>
      <c r="J136" s="162">
        <f t="shared" si="15"/>
        <v>0</v>
      </c>
      <c r="K136" s="162"/>
      <c r="L136" s="335"/>
      <c r="M136" s="162">
        <f t="shared" si="19"/>
        <v>0</v>
      </c>
      <c r="N136" s="335"/>
      <c r="O136" s="162">
        <f t="shared" si="20"/>
        <v>0</v>
      </c>
      <c r="P136" s="162">
        <f t="shared" si="21"/>
        <v>0</v>
      </c>
    </row>
    <row r="137" spans="2:16">
      <c r="B137" s="9" t="str">
        <f t="shared" si="9"/>
        <v/>
      </c>
      <c r="C137" s="157">
        <f>IF(D93="","-",+C136+1)</f>
        <v>2052</v>
      </c>
      <c r="D137" s="158">
        <f>IF(F136+SUM(E$99:E136)=D$92,F136,D$92-SUM(E$99:E136))</f>
        <v>409181.23666666634</v>
      </c>
      <c r="E137" s="164">
        <f t="shared" si="10"/>
        <v>48840</v>
      </c>
      <c r="F137" s="163">
        <f t="shared" si="11"/>
        <v>360341.23666666634</v>
      </c>
      <c r="G137" s="163">
        <f t="shared" si="12"/>
        <v>384761.23666666634</v>
      </c>
      <c r="H137" s="167">
        <f t="shared" si="13"/>
        <v>97647.933046969556</v>
      </c>
      <c r="I137" s="317">
        <f t="shared" si="14"/>
        <v>97647.933046969556</v>
      </c>
      <c r="J137" s="162">
        <f t="shared" si="15"/>
        <v>0</v>
      </c>
      <c r="K137" s="162"/>
      <c r="L137" s="335"/>
      <c r="M137" s="162">
        <f t="shared" si="19"/>
        <v>0</v>
      </c>
      <c r="N137" s="335"/>
      <c r="O137" s="162">
        <f t="shared" si="20"/>
        <v>0</v>
      </c>
      <c r="P137" s="162">
        <f t="shared" si="21"/>
        <v>0</v>
      </c>
    </row>
    <row r="138" spans="2:16">
      <c r="B138" s="9" t="str">
        <f t="shared" si="9"/>
        <v/>
      </c>
      <c r="C138" s="157">
        <f>IF(D93="","-",+C137+1)</f>
        <v>2053</v>
      </c>
      <c r="D138" s="158">
        <f>IF(F137+SUM(E$99:E137)=D$92,F137,D$92-SUM(E$99:E137))</f>
        <v>360341.23666666634</v>
      </c>
      <c r="E138" s="164">
        <f t="shared" si="10"/>
        <v>48840</v>
      </c>
      <c r="F138" s="163">
        <f t="shared" si="11"/>
        <v>311501.23666666634</v>
      </c>
      <c r="G138" s="163">
        <f t="shared" si="12"/>
        <v>335921.23666666634</v>
      </c>
      <c r="H138" s="167">
        <f t="shared" si="13"/>
        <v>91452.455896865809</v>
      </c>
      <c r="I138" s="317">
        <f t="shared" si="14"/>
        <v>91452.455896865809</v>
      </c>
      <c r="J138" s="162">
        <f t="shared" si="15"/>
        <v>0</v>
      </c>
      <c r="K138" s="162"/>
      <c r="L138" s="335"/>
      <c r="M138" s="162">
        <f t="shared" si="19"/>
        <v>0</v>
      </c>
      <c r="N138" s="335"/>
      <c r="O138" s="162">
        <f t="shared" si="20"/>
        <v>0</v>
      </c>
      <c r="P138" s="162">
        <f t="shared" si="21"/>
        <v>0</v>
      </c>
    </row>
    <row r="139" spans="2:16">
      <c r="B139" s="9" t="str">
        <f t="shared" si="9"/>
        <v/>
      </c>
      <c r="C139" s="157">
        <f>IF(D93="","-",+C138+1)</f>
        <v>2054</v>
      </c>
      <c r="D139" s="158">
        <f>IF(F138+SUM(E$99:E138)=D$92,F138,D$92-SUM(E$99:E138))</f>
        <v>311501.23666666634</v>
      </c>
      <c r="E139" s="164">
        <f t="shared" si="10"/>
        <v>48840</v>
      </c>
      <c r="F139" s="163">
        <f t="shared" si="11"/>
        <v>262661.23666666634</v>
      </c>
      <c r="G139" s="163">
        <f t="shared" si="12"/>
        <v>287081.23666666634</v>
      </c>
      <c r="H139" s="167">
        <f t="shared" si="13"/>
        <v>85256.978746762063</v>
      </c>
      <c r="I139" s="317">
        <f t="shared" si="14"/>
        <v>85256.978746762063</v>
      </c>
      <c r="J139" s="162">
        <f t="shared" si="15"/>
        <v>0</v>
      </c>
      <c r="K139" s="162"/>
      <c r="L139" s="335"/>
      <c r="M139" s="162">
        <f t="shared" si="19"/>
        <v>0</v>
      </c>
      <c r="N139" s="335"/>
      <c r="O139" s="162">
        <f t="shared" si="20"/>
        <v>0</v>
      </c>
      <c r="P139" s="162">
        <f t="shared" si="21"/>
        <v>0</v>
      </c>
    </row>
    <row r="140" spans="2:16">
      <c r="B140" s="9" t="str">
        <f t="shared" si="9"/>
        <v/>
      </c>
      <c r="C140" s="157">
        <f>IF(D93="","-",+C139+1)</f>
        <v>2055</v>
      </c>
      <c r="D140" s="158">
        <f>IF(F139+SUM(E$99:E139)=D$92,F139,D$92-SUM(E$99:E139))</f>
        <v>262661.23666666634</v>
      </c>
      <c r="E140" s="164">
        <f t="shared" si="10"/>
        <v>48840</v>
      </c>
      <c r="F140" s="163">
        <f t="shared" si="11"/>
        <v>213821.23666666634</v>
      </c>
      <c r="G140" s="163">
        <f t="shared" si="12"/>
        <v>238241.23666666634</v>
      </c>
      <c r="H140" s="167">
        <f t="shared" si="13"/>
        <v>79061.501596658301</v>
      </c>
      <c r="I140" s="317">
        <f t="shared" si="14"/>
        <v>79061.501596658301</v>
      </c>
      <c r="J140" s="162">
        <f t="shared" si="15"/>
        <v>0</v>
      </c>
      <c r="K140" s="162"/>
      <c r="L140" s="335"/>
      <c r="M140" s="162">
        <f t="shared" si="19"/>
        <v>0</v>
      </c>
      <c r="N140" s="335"/>
      <c r="O140" s="162">
        <f t="shared" si="20"/>
        <v>0</v>
      </c>
      <c r="P140" s="162">
        <f t="shared" si="21"/>
        <v>0</v>
      </c>
    </row>
    <row r="141" spans="2:16">
      <c r="B141" s="9" t="str">
        <f t="shared" si="9"/>
        <v/>
      </c>
      <c r="C141" s="157">
        <f>IF(D93="","-",+C140+1)</f>
        <v>2056</v>
      </c>
      <c r="D141" s="158">
        <f>IF(F140+SUM(E$99:E140)=D$92,F140,D$92-SUM(E$99:E140))</f>
        <v>213821.23666666634</v>
      </c>
      <c r="E141" s="164">
        <f t="shared" si="10"/>
        <v>48840</v>
      </c>
      <c r="F141" s="163">
        <f t="shared" si="11"/>
        <v>164981.23666666634</v>
      </c>
      <c r="G141" s="163">
        <f t="shared" si="12"/>
        <v>189401.23666666634</v>
      </c>
      <c r="H141" s="167">
        <f t="shared" si="13"/>
        <v>72866.024446554555</v>
      </c>
      <c r="I141" s="317">
        <f t="shared" si="14"/>
        <v>72866.024446554555</v>
      </c>
      <c r="J141" s="162">
        <f t="shared" si="15"/>
        <v>0</v>
      </c>
      <c r="K141" s="162"/>
      <c r="L141" s="335"/>
      <c r="M141" s="162">
        <f t="shared" si="19"/>
        <v>0</v>
      </c>
      <c r="N141" s="335"/>
      <c r="O141" s="162">
        <f t="shared" si="20"/>
        <v>0</v>
      </c>
      <c r="P141" s="162">
        <f t="shared" si="21"/>
        <v>0</v>
      </c>
    </row>
    <row r="142" spans="2:16">
      <c r="B142" s="9" t="str">
        <f t="shared" si="9"/>
        <v/>
      </c>
      <c r="C142" s="157">
        <f>IF(D93="","-",+C141+1)</f>
        <v>2057</v>
      </c>
      <c r="D142" s="158">
        <f>IF(F141+SUM(E$99:E141)=D$92,F141,D$92-SUM(E$99:E141))</f>
        <v>164981.23666666634</v>
      </c>
      <c r="E142" s="164">
        <f t="shared" si="10"/>
        <v>48840</v>
      </c>
      <c r="F142" s="163">
        <f t="shared" si="11"/>
        <v>116141.23666666634</v>
      </c>
      <c r="G142" s="163">
        <f t="shared" si="12"/>
        <v>140561.23666666634</v>
      </c>
      <c r="H142" s="167">
        <f t="shared" si="13"/>
        <v>66670.547296450794</v>
      </c>
      <c r="I142" s="317">
        <f t="shared" si="14"/>
        <v>66670.547296450794</v>
      </c>
      <c r="J142" s="162">
        <f t="shared" si="15"/>
        <v>0</v>
      </c>
      <c r="K142" s="162"/>
      <c r="L142" s="335"/>
      <c r="M142" s="162">
        <f t="shared" si="19"/>
        <v>0</v>
      </c>
      <c r="N142" s="335"/>
      <c r="O142" s="162">
        <f t="shared" si="20"/>
        <v>0</v>
      </c>
      <c r="P142" s="162">
        <f t="shared" si="21"/>
        <v>0</v>
      </c>
    </row>
    <row r="143" spans="2:16">
      <c r="B143" s="9" t="str">
        <f t="shared" si="9"/>
        <v/>
      </c>
      <c r="C143" s="157">
        <f>IF(D93="","-",+C142+1)</f>
        <v>2058</v>
      </c>
      <c r="D143" s="158">
        <f>IF(F142+SUM(E$99:E142)=D$92,F142,D$92-SUM(E$99:E142))</f>
        <v>116141.23666666634</v>
      </c>
      <c r="E143" s="164">
        <f t="shared" si="10"/>
        <v>48840</v>
      </c>
      <c r="F143" s="163">
        <f t="shared" si="11"/>
        <v>67301.236666666344</v>
      </c>
      <c r="G143" s="163">
        <f t="shared" si="12"/>
        <v>91721.236666666344</v>
      </c>
      <c r="H143" s="167">
        <f t="shared" si="13"/>
        <v>60475.070146347047</v>
      </c>
      <c r="I143" s="317">
        <f t="shared" si="14"/>
        <v>60475.070146347047</v>
      </c>
      <c r="J143" s="162">
        <f t="shared" si="15"/>
        <v>0</v>
      </c>
      <c r="K143" s="162"/>
      <c r="L143" s="335"/>
      <c r="M143" s="162">
        <f t="shared" si="19"/>
        <v>0</v>
      </c>
      <c r="N143" s="335"/>
      <c r="O143" s="162">
        <f t="shared" si="20"/>
        <v>0</v>
      </c>
      <c r="P143" s="162">
        <f t="shared" si="21"/>
        <v>0</v>
      </c>
    </row>
    <row r="144" spans="2:16">
      <c r="B144" s="9" t="str">
        <f t="shared" si="9"/>
        <v/>
      </c>
      <c r="C144" s="157">
        <f>IF(D93="","-",+C143+1)</f>
        <v>2059</v>
      </c>
      <c r="D144" s="158">
        <f>IF(F143+SUM(E$99:E143)=D$92,F143,D$92-SUM(E$99:E143))</f>
        <v>67301.236666666344</v>
      </c>
      <c r="E144" s="164">
        <f t="shared" si="10"/>
        <v>48840</v>
      </c>
      <c r="F144" s="163">
        <f t="shared" si="11"/>
        <v>18461.236666666344</v>
      </c>
      <c r="G144" s="163">
        <f t="shared" si="12"/>
        <v>42881.236666666344</v>
      </c>
      <c r="H144" s="167">
        <f t="shared" si="13"/>
        <v>54279.592996243293</v>
      </c>
      <c r="I144" s="317">
        <f t="shared" si="14"/>
        <v>54279.592996243293</v>
      </c>
      <c r="J144" s="162">
        <f t="shared" si="15"/>
        <v>0</v>
      </c>
      <c r="K144" s="162"/>
      <c r="L144" s="335"/>
      <c r="M144" s="162">
        <f t="shared" si="19"/>
        <v>0</v>
      </c>
      <c r="N144" s="335"/>
      <c r="O144" s="162">
        <f t="shared" si="20"/>
        <v>0</v>
      </c>
      <c r="P144" s="162">
        <f t="shared" si="21"/>
        <v>0</v>
      </c>
    </row>
    <row r="145" spans="2:16">
      <c r="B145" s="9" t="str">
        <f t="shared" si="9"/>
        <v/>
      </c>
      <c r="C145" s="157">
        <f>IF(D93="","-",+C144+1)</f>
        <v>2060</v>
      </c>
      <c r="D145" s="158">
        <f>IF(F144+SUM(E$99:E144)=D$92,F144,D$92-SUM(E$99:E144))</f>
        <v>18461.236666666344</v>
      </c>
      <c r="E145" s="164">
        <f t="shared" si="10"/>
        <v>18461.236666666344</v>
      </c>
      <c r="F145" s="163">
        <f t="shared" si="11"/>
        <v>0</v>
      </c>
      <c r="G145" s="163">
        <f t="shared" si="12"/>
        <v>9230.6183333331719</v>
      </c>
      <c r="H145" s="167">
        <f t="shared" si="13"/>
        <v>19632.163877262054</v>
      </c>
      <c r="I145" s="317">
        <f t="shared" si="14"/>
        <v>19632.163877262054</v>
      </c>
      <c r="J145" s="162">
        <f t="shared" si="15"/>
        <v>0</v>
      </c>
      <c r="K145" s="162"/>
      <c r="L145" s="335"/>
      <c r="M145" s="162">
        <f t="shared" si="19"/>
        <v>0</v>
      </c>
      <c r="N145" s="335"/>
      <c r="O145" s="162">
        <f t="shared" si="20"/>
        <v>0</v>
      </c>
      <c r="P145" s="162">
        <f t="shared" si="21"/>
        <v>0</v>
      </c>
    </row>
    <row r="146" spans="2:16">
      <c r="B146" s="9" t="str">
        <f t="shared" si="9"/>
        <v/>
      </c>
      <c r="C146" s="157">
        <f>IF(D93="","-",+C145+1)</f>
        <v>2061</v>
      </c>
      <c r="D146" s="158">
        <f>IF(F145+SUM(E$99:E145)=D$92,F145,D$92-SUM(E$99:E145))</f>
        <v>0</v>
      </c>
      <c r="E146" s="164">
        <f t="shared" si="10"/>
        <v>0</v>
      </c>
      <c r="F146" s="163">
        <f t="shared" si="11"/>
        <v>0</v>
      </c>
      <c r="G146" s="163">
        <f t="shared" si="12"/>
        <v>0</v>
      </c>
      <c r="H146" s="167">
        <f t="shared" si="13"/>
        <v>0</v>
      </c>
      <c r="I146" s="317">
        <f t="shared" si="14"/>
        <v>0</v>
      </c>
      <c r="J146" s="162">
        <f t="shared" si="15"/>
        <v>0</v>
      </c>
      <c r="K146" s="162"/>
      <c r="L146" s="335"/>
      <c r="M146" s="162">
        <f t="shared" si="19"/>
        <v>0</v>
      </c>
      <c r="N146" s="335"/>
      <c r="O146" s="162">
        <f t="shared" si="20"/>
        <v>0</v>
      </c>
      <c r="P146" s="162">
        <f t="shared" si="21"/>
        <v>0</v>
      </c>
    </row>
    <row r="147" spans="2:16">
      <c r="B147" s="9" t="str">
        <f t="shared" si="9"/>
        <v/>
      </c>
      <c r="C147" s="157">
        <f>IF(D93="","-",+C146+1)</f>
        <v>2062</v>
      </c>
      <c r="D147" s="158">
        <f>IF(F146+SUM(E$99:E146)=D$92,F146,D$92-SUM(E$99:E146))</f>
        <v>0</v>
      </c>
      <c r="E147" s="164">
        <f t="shared" si="10"/>
        <v>0</v>
      </c>
      <c r="F147" s="163">
        <f t="shared" si="11"/>
        <v>0</v>
      </c>
      <c r="G147" s="163">
        <f t="shared" si="12"/>
        <v>0</v>
      </c>
      <c r="H147" s="167">
        <f t="shared" si="13"/>
        <v>0</v>
      </c>
      <c r="I147" s="317">
        <f t="shared" si="14"/>
        <v>0</v>
      </c>
      <c r="J147" s="162">
        <f t="shared" si="15"/>
        <v>0</v>
      </c>
      <c r="K147" s="162"/>
      <c r="L147" s="335"/>
      <c r="M147" s="162">
        <f t="shared" si="19"/>
        <v>0</v>
      </c>
      <c r="N147" s="335"/>
      <c r="O147" s="162">
        <f t="shared" si="20"/>
        <v>0</v>
      </c>
      <c r="P147" s="162">
        <f t="shared" si="21"/>
        <v>0</v>
      </c>
    </row>
    <row r="148" spans="2:16">
      <c r="B148" s="9" t="str">
        <f t="shared" si="9"/>
        <v/>
      </c>
      <c r="C148" s="157">
        <f>IF(D93="","-",+C147+1)</f>
        <v>2063</v>
      </c>
      <c r="D148" s="158">
        <f>IF(F147+SUM(E$99:E147)=D$92,F147,D$92-SUM(E$99:E147))</f>
        <v>0</v>
      </c>
      <c r="E148" s="164">
        <f t="shared" si="10"/>
        <v>0</v>
      </c>
      <c r="F148" s="163">
        <f t="shared" si="11"/>
        <v>0</v>
      </c>
      <c r="G148" s="163">
        <f t="shared" si="12"/>
        <v>0</v>
      </c>
      <c r="H148" s="167">
        <f t="shared" si="13"/>
        <v>0</v>
      </c>
      <c r="I148" s="317">
        <f t="shared" si="14"/>
        <v>0</v>
      </c>
      <c r="J148" s="162">
        <f t="shared" si="15"/>
        <v>0</v>
      </c>
      <c r="K148" s="162"/>
      <c r="L148" s="335"/>
      <c r="M148" s="162">
        <f t="shared" si="19"/>
        <v>0</v>
      </c>
      <c r="N148" s="335"/>
      <c r="O148" s="162">
        <f t="shared" si="20"/>
        <v>0</v>
      </c>
      <c r="P148" s="162">
        <f t="shared" si="21"/>
        <v>0</v>
      </c>
    </row>
    <row r="149" spans="2:16">
      <c r="B149" s="9" t="str">
        <f t="shared" si="9"/>
        <v/>
      </c>
      <c r="C149" s="157">
        <f>IF(D93="","-",+C148+1)</f>
        <v>2064</v>
      </c>
      <c r="D149" s="158">
        <f>IF(F148+SUM(E$99:E148)=D$92,F148,D$92-SUM(E$99:E148))</f>
        <v>0</v>
      </c>
      <c r="E149" s="164">
        <f t="shared" si="10"/>
        <v>0</v>
      </c>
      <c r="F149" s="163">
        <f t="shared" si="11"/>
        <v>0</v>
      </c>
      <c r="G149" s="163">
        <f t="shared" si="12"/>
        <v>0</v>
      </c>
      <c r="H149" s="167">
        <f t="shared" si="13"/>
        <v>0</v>
      </c>
      <c r="I149" s="317">
        <f t="shared" si="14"/>
        <v>0</v>
      </c>
      <c r="J149" s="162">
        <f t="shared" si="15"/>
        <v>0</v>
      </c>
      <c r="K149" s="162"/>
      <c r="L149" s="335"/>
      <c r="M149" s="162">
        <f t="shared" si="19"/>
        <v>0</v>
      </c>
      <c r="N149" s="335"/>
      <c r="O149" s="162">
        <f t="shared" si="20"/>
        <v>0</v>
      </c>
      <c r="P149" s="162">
        <f t="shared" si="21"/>
        <v>0</v>
      </c>
    </row>
    <row r="150" spans="2:16">
      <c r="B150" s="9" t="str">
        <f t="shared" si="9"/>
        <v/>
      </c>
      <c r="C150" s="157">
        <f>IF(D93="","-",+C149+1)</f>
        <v>2065</v>
      </c>
      <c r="D150" s="158">
        <f>IF(F149+SUM(E$99:E149)=D$92,F149,D$92-SUM(E$99:E149))</f>
        <v>0</v>
      </c>
      <c r="E150" s="164">
        <f t="shared" si="10"/>
        <v>0</v>
      </c>
      <c r="F150" s="163">
        <f t="shared" si="11"/>
        <v>0</v>
      </c>
      <c r="G150" s="163">
        <f t="shared" si="12"/>
        <v>0</v>
      </c>
      <c r="H150" s="167">
        <f t="shared" si="13"/>
        <v>0</v>
      </c>
      <c r="I150" s="317">
        <f t="shared" si="14"/>
        <v>0</v>
      </c>
      <c r="J150" s="162">
        <f t="shared" si="15"/>
        <v>0</v>
      </c>
      <c r="K150" s="162"/>
      <c r="L150" s="335"/>
      <c r="M150" s="162">
        <f t="shared" si="19"/>
        <v>0</v>
      </c>
      <c r="N150" s="335"/>
      <c r="O150" s="162">
        <f t="shared" si="20"/>
        <v>0</v>
      </c>
      <c r="P150" s="162">
        <f t="shared" si="21"/>
        <v>0</v>
      </c>
    </row>
    <row r="151" spans="2:16">
      <c r="B151" s="9" t="str">
        <f t="shared" si="9"/>
        <v/>
      </c>
      <c r="C151" s="157">
        <f>IF(D93="","-",+C150+1)</f>
        <v>2066</v>
      </c>
      <c r="D151" s="158">
        <f>IF(F150+SUM(E$99:E150)=D$92,F150,D$92-SUM(E$99:E150))</f>
        <v>0</v>
      </c>
      <c r="E151" s="164">
        <f t="shared" si="10"/>
        <v>0</v>
      </c>
      <c r="F151" s="163">
        <f t="shared" si="11"/>
        <v>0</v>
      </c>
      <c r="G151" s="163">
        <f t="shared" si="12"/>
        <v>0</v>
      </c>
      <c r="H151" s="167">
        <f t="shared" si="13"/>
        <v>0</v>
      </c>
      <c r="I151" s="317">
        <f t="shared" si="14"/>
        <v>0</v>
      </c>
      <c r="J151" s="162">
        <f t="shared" si="15"/>
        <v>0</v>
      </c>
      <c r="K151" s="162"/>
      <c r="L151" s="335"/>
      <c r="M151" s="162">
        <f t="shared" si="19"/>
        <v>0</v>
      </c>
      <c r="N151" s="335"/>
      <c r="O151" s="162">
        <f t="shared" si="20"/>
        <v>0</v>
      </c>
      <c r="P151" s="162">
        <f t="shared" si="21"/>
        <v>0</v>
      </c>
    </row>
    <row r="152" spans="2:16">
      <c r="B152" s="9" t="str">
        <f t="shared" si="9"/>
        <v/>
      </c>
      <c r="C152" s="157">
        <f>IF(D93="","-",+C151+1)</f>
        <v>2067</v>
      </c>
      <c r="D152" s="158">
        <f>IF(F151+SUM(E$99:E151)=D$92,F151,D$92-SUM(E$99:E151))</f>
        <v>0</v>
      </c>
      <c r="E152" s="164">
        <f t="shared" si="10"/>
        <v>0</v>
      </c>
      <c r="F152" s="163">
        <f t="shared" si="11"/>
        <v>0</v>
      </c>
      <c r="G152" s="163">
        <f t="shared" si="12"/>
        <v>0</v>
      </c>
      <c r="H152" s="167">
        <f t="shared" si="13"/>
        <v>0</v>
      </c>
      <c r="I152" s="317">
        <f t="shared" si="14"/>
        <v>0</v>
      </c>
      <c r="J152" s="162">
        <f t="shared" si="15"/>
        <v>0</v>
      </c>
      <c r="K152" s="162"/>
      <c r="L152" s="335"/>
      <c r="M152" s="162">
        <f t="shared" si="19"/>
        <v>0</v>
      </c>
      <c r="N152" s="335"/>
      <c r="O152" s="162">
        <f t="shared" si="20"/>
        <v>0</v>
      </c>
      <c r="P152" s="162">
        <f t="shared" si="21"/>
        <v>0</v>
      </c>
    </row>
    <row r="153" spans="2:16">
      <c r="B153" s="9" t="str">
        <f t="shared" si="9"/>
        <v/>
      </c>
      <c r="C153" s="157">
        <f>IF(D93="","-",+C152+1)</f>
        <v>2068</v>
      </c>
      <c r="D153" s="158">
        <f>IF(F152+SUM(E$99:E152)=D$92,F152,D$92-SUM(E$99:E152))</f>
        <v>0</v>
      </c>
      <c r="E153" s="164">
        <f t="shared" si="10"/>
        <v>0</v>
      </c>
      <c r="F153" s="163">
        <f t="shared" si="11"/>
        <v>0</v>
      </c>
      <c r="G153" s="163">
        <f t="shared" si="12"/>
        <v>0</v>
      </c>
      <c r="H153" s="167">
        <f t="shared" si="13"/>
        <v>0</v>
      </c>
      <c r="I153" s="317">
        <f t="shared" si="14"/>
        <v>0</v>
      </c>
      <c r="J153" s="162">
        <f t="shared" si="15"/>
        <v>0</v>
      </c>
      <c r="K153" s="162"/>
      <c r="L153" s="335"/>
      <c r="M153" s="162">
        <f t="shared" si="19"/>
        <v>0</v>
      </c>
      <c r="N153" s="335"/>
      <c r="O153" s="162">
        <f t="shared" si="20"/>
        <v>0</v>
      </c>
      <c r="P153" s="162">
        <f t="shared" si="21"/>
        <v>0</v>
      </c>
    </row>
    <row r="154" spans="2:16" ht="13.5" thickBot="1">
      <c r="B154" s="9" t="str">
        <f t="shared" si="9"/>
        <v/>
      </c>
      <c r="C154" s="168">
        <f>IF(D93="","-",+C153+1)</f>
        <v>2069</v>
      </c>
      <c r="D154" s="158">
        <f>IF(F153+SUM(E$99:E153)=D$92,F153,D$92-SUM(E$99:E153))</f>
        <v>0</v>
      </c>
      <c r="E154" s="164">
        <f t="shared" si="10"/>
        <v>0</v>
      </c>
      <c r="F154" s="163">
        <f t="shared" si="11"/>
        <v>0</v>
      </c>
      <c r="G154" s="163">
        <f t="shared" si="12"/>
        <v>0</v>
      </c>
      <c r="H154" s="167">
        <f t="shared" si="13"/>
        <v>0</v>
      </c>
      <c r="I154" s="317">
        <f t="shared" si="14"/>
        <v>0</v>
      </c>
      <c r="J154" s="162">
        <f t="shared" si="15"/>
        <v>0</v>
      </c>
      <c r="K154" s="162"/>
      <c r="L154" s="336"/>
      <c r="M154" s="173">
        <f t="shared" si="19"/>
        <v>0</v>
      </c>
      <c r="N154" s="336"/>
      <c r="O154" s="173">
        <f t="shared" si="20"/>
        <v>0</v>
      </c>
      <c r="P154" s="173">
        <f t="shared" si="21"/>
        <v>0</v>
      </c>
    </row>
    <row r="155" spans="2:16">
      <c r="C155" s="158" t="s">
        <v>72</v>
      </c>
      <c r="D155" s="115"/>
      <c r="E155" s="115">
        <f>SUM(E99:E154)</f>
        <v>2246628.5699999998</v>
      </c>
      <c r="F155" s="115"/>
      <c r="G155" s="115"/>
      <c r="H155" s="115">
        <f>SUM(H99:H154)</f>
        <v>8806561.5277731884</v>
      </c>
      <c r="I155" s="115">
        <f>SUM(I99:I154)</f>
        <v>8806561.5277731884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7" priority="1" stopIfTrue="1" operator="equal">
      <formula>$I$10</formula>
    </cfRule>
  </conditionalFormatting>
  <conditionalFormatting sqref="C99:C154">
    <cfRule type="cellIs" dxfId="26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P162"/>
  <sheetViews>
    <sheetView view="pageBreakPreview" zoomScale="80" zoomScaleNormal="100" zoomScaleSheetLayoutView="8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16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653538.133879842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653538.133879842</v>
      </c>
      <c r="O6" s="1"/>
      <c r="P6" s="1"/>
    </row>
    <row r="7" spans="1:16" ht="13.5" thickBot="1">
      <c r="C7" s="127" t="s">
        <v>41</v>
      </c>
      <c r="D7" s="426" t="s">
        <v>245</v>
      </c>
      <c r="E7" s="406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244</v>
      </c>
      <c r="E9" s="428" t="s">
        <v>252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5059278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2014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126481.95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2014</v>
      </c>
      <c r="D17" s="436">
        <v>5300000</v>
      </c>
      <c r="E17" s="441">
        <v>0</v>
      </c>
      <c r="F17" s="436">
        <v>5300000</v>
      </c>
      <c r="G17" s="441">
        <v>729591.46876123699</v>
      </c>
      <c r="H17" s="439">
        <v>729591.46876123699</v>
      </c>
      <c r="I17" s="160">
        <v>0</v>
      </c>
      <c r="J17" s="160"/>
      <c r="K17" s="338">
        <f>G17</f>
        <v>729591.46876123699</v>
      </c>
      <c r="L17" s="440">
        <f>IF(K17&lt;&gt;0,+G17-K17,0)</f>
        <v>0</v>
      </c>
      <c r="M17" s="338">
        <f>H17</f>
        <v>729591.46876123699</v>
      </c>
      <c r="N17" s="162">
        <f>IF(M17&lt;&gt;0,+H17-M17,0)</f>
        <v>0</v>
      </c>
      <c r="O17" s="160">
        <f>+N17-L17</f>
        <v>0</v>
      </c>
      <c r="P17" s="4"/>
    </row>
    <row r="18" spans="2:16">
      <c r="B18" s="9" t="str">
        <f>IF(D18=F17,"","IU")</f>
        <v/>
      </c>
      <c r="C18" s="157">
        <f>IF(D11="","-",+C17+1)</f>
        <v>2015</v>
      </c>
      <c r="D18" s="436">
        <v>5300000</v>
      </c>
      <c r="E18" s="437">
        <v>101923.07692307692</v>
      </c>
      <c r="F18" s="436">
        <v>5198076.923076923</v>
      </c>
      <c r="G18" s="437">
        <v>818590.55430690572</v>
      </c>
      <c r="H18" s="439">
        <v>818590.55430690572</v>
      </c>
      <c r="I18" s="160">
        <v>0</v>
      </c>
      <c r="J18" s="160"/>
      <c r="K18" s="338">
        <f>G18</f>
        <v>818590.55430690572</v>
      </c>
      <c r="L18" s="440">
        <f>IF(K18&lt;&gt;0,+G18-K18,0)</f>
        <v>0</v>
      </c>
      <c r="M18" s="338">
        <f>H18</f>
        <v>818590.55430690572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2016</v>
      </c>
      <c r="D19" s="436">
        <v>4969414.923076923</v>
      </c>
      <c r="E19" s="437">
        <v>97525.730769230766</v>
      </c>
      <c r="F19" s="436">
        <v>4871889.192307692</v>
      </c>
      <c r="G19" s="437">
        <v>736520.73076923075</v>
      </c>
      <c r="H19" s="439">
        <v>736520.73076923075</v>
      </c>
      <c r="I19" s="160">
        <f>H19-G19</f>
        <v>0</v>
      </c>
      <c r="J19" s="160"/>
      <c r="K19" s="338">
        <f>G19</f>
        <v>736520.73076923075</v>
      </c>
      <c r="L19" s="440">
        <f>IF(K19&lt;&gt;0,+G19-K19,0)</f>
        <v>0</v>
      </c>
      <c r="M19" s="338">
        <f>H19</f>
        <v>736520.73076923075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0">IF(D20=F19,"","IU")</f>
        <v>IU</v>
      </c>
      <c r="C20" s="157">
        <f>IF(D11="","-",+C19+1)</f>
        <v>2017</v>
      </c>
      <c r="D20" s="436">
        <v>4859829.192307692</v>
      </c>
      <c r="E20" s="437">
        <v>109984.30434782608</v>
      </c>
      <c r="F20" s="436">
        <v>4749844.8879598659</v>
      </c>
      <c r="G20" s="437">
        <v>714452.30434782605</v>
      </c>
      <c r="H20" s="439">
        <v>714452.30434782605</v>
      </c>
      <c r="I20" s="160">
        <v>0</v>
      </c>
      <c r="J20" s="160"/>
      <c r="K20" s="338">
        <f>G20</f>
        <v>714452.30434782605</v>
      </c>
      <c r="L20" s="440">
        <f>IF(K20&lt;&gt;0,+G20-K20,0)</f>
        <v>0</v>
      </c>
      <c r="M20" s="338">
        <f>H20</f>
        <v>714452.30434782605</v>
      </c>
      <c r="N20" s="162">
        <f>IF(M20&lt;&gt;0,+H20-M20,0)</f>
        <v>0</v>
      </c>
      <c r="O20" s="160">
        <f>+N20-L20</f>
        <v>0</v>
      </c>
      <c r="P20" s="4"/>
    </row>
    <row r="21" spans="2:16">
      <c r="B21" s="9" t="str">
        <f t="shared" si="0"/>
        <v/>
      </c>
      <c r="C21" s="157">
        <f>IF(D11="","-",+C20+1)</f>
        <v>2018</v>
      </c>
      <c r="D21" s="436">
        <v>4749844.8879598659</v>
      </c>
      <c r="E21" s="437">
        <v>112428.4</v>
      </c>
      <c r="F21" s="436">
        <v>4637416.4879598655</v>
      </c>
      <c r="G21" s="437">
        <v>674532.63926355843</v>
      </c>
      <c r="H21" s="439">
        <v>674532.63926355843</v>
      </c>
      <c r="I21" s="160">
        <f t="shared" ref="I21:I72" si="1">H21-G21</f>
        <v>0</v>
      </c>
      <c r="J21" s="160"/>
      <c r="K21" s="338">
        <f>G21</f>
        <v>674532.63926355843</v>
      </c>
      <c r="L21" s="440">
        <f>IF(K21&lt;&gt;0,+G21-K21,0)</f>
        <v>0</v>
      </c>
      <c r="M21" s="338">
        <f>H21</f>
        <v>674532.63926355843</v>
      </c>
      <c r="N21" s="162">
        <f>IF(M21&lt;&gt;0,+H21-M21,0)</f>
        <v>0</v>
      </c>
      <c r="O21" s="160">
        <f>+N21-L21</f>
        <v>0</v>
      </c>
      <c r="P21" s="4"/>
    </row>
    <row r="22" spans="2:16">
      <c r="B22" s="9" t="str">
        <f t="shared" si="0"/>
        <v/>
      </c>
      <c r="C22" s="157">
        <f>IF(D11="","-",+C21+1)</f>
        <v>2019</v>
      </c>
      <c r="D22" s="163">
        <f>IF(F21+SUM(E$17:E21)=D$10,F21,D$10-SUM(E$17:E21))</f>
        <v>4637416.4879598655</v>
      </c>
      <c r="E22" s="164">
        <f t="shared" ref="E22:E72" si="2">IF(+$I$14&lt;F21,$I$14,D22)</f>
        <v>126481.95</v>
      </c>
      <c r="F22" s="163">
        <f t="shared" ref="F22:F72" si="3">+D22-E22</f>
        <v>4510934.5379598653</v>
      </c>
      <c r="G22" s="165">
        <f t="shared" ref="G22:G72" si="4">(D22+F22)/2*I$12+E22</f>
        <v>653538.133879842</v>
      </c>
      <c r="H22" s="147">
        <f t="shared" ref="H22:H72" si="5">+(D22+F22)/2*I$13+E22</f>
        <v>653538.133879842</v>
      </c>
      <c r="I22" s="160">
        <f t="shared" si="1"/>
        <v>0</v>
      </c>
      <c r="J22" s="160"/>
      <c r="K22" s="335"/>
      <c r="L22" s="162">
        <f t="shared" ref="L22:L72" si="6">IF(K22&lt;&gt;0,+G22-K22,0)</f>
        <v>0</v>
      </c>
      <c r="M22" s="335"/>
      <c r="N22" s="162">
        <f t="shared" ref="N22:N72" si="7">IF(M22&lt;&gt;0,+H22-M22,0)</f>
        <v>0</v>
      </c>
      <c r="O22" s="162">
        <f t="shared" ref="O22:O72" si="8">+N22-L22</f>
        <v>0</v>
      </c>
      <c r="P22" s="4"/>
    </row>
    <row r="23" spans="2:16">
      <c r="B23" s="9" t="str">
        <f t="shared" si="0"/>
        <v/>
      </c>
      <c r="C23" s="157">
        <f>IF(D11="","-",+C22+1)</f>
        <v>2020</v>
      </c>
      <c r="D23" s="163">
        <f>IF(F22+SUM(E$17:E22)=D$10,F22,D$10-SUM(E$17:E22))</f>
        <v>4510934.5379598653</v>
      </c>
      <c r="E23" s="164">
        <f t="shared" si="2"/>
        <v>126481.95</v>
      </c>
      <c r="F23" s="163">
        <f t="shared" si="3"/>
        <v>4384452.5879598651</v>
      </c>
      <c r="G23" s="165">
        <f t="shared" si="4"/>
        <v>638964.33938774012</v>
      </c>
      <c r="H23" s="147">
        <f t="shared" si="5"/>
        <v>638964.33938774012</v>
      </c>
      <c r="I23" s="160">
        <f t="shared" si="1"/>
        <v>0</v>
      </c>
      <c r="J23" s="160"/>
      <c r="K23" s="335"/>
      <c r="L23" s="162">
        <f t="shared" si="6"/>
        <v>0</v>
      </c>
      <c r="M23" s="335"/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0"/>
        <v/>
      </c>
      <c r="C24" s="157">
        <f>IF(D11="","-",+C23+1)</f>
        <v>2021</v>
      </c>
      <c r="D24" s="163">
        <f>IF(F23+SUM(E$17:E23)=D$10,F23,D$10-SUM(E$17:E23))</f>
        <v>4384452.5879598651</v>
      </c>
      <c r="E24" s="164">
        <f t="shared" si="2"/>
        <v>126481.95</v>
      </c>
      <c r="F24" s="163">
        <f t="shared" si="3"/>
        <v>4257970.6379598649</v>
      </c>
      <c r="G24" s="165">
        <f t="shared" si="4"/>
        <v>624390.5448956386</v>
      </c>
      <c r="H24" s="147">
        <f t="shared" si="5"/>
        <v>624390.5448956386</v>
      </c>
      <c r="I24" s="160">
        <f t="shared" si="1"/>
        <v>0</v>
      </c>
      <c r="J24" s="160"/>
      <c r="K24" s="335"/>
      <c r="L24" s="162">
        <f t="shared" si="6"/>
        <v>0</v>
      </c>
      <c r="M24" s="335"/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0"/>
        <v/>
      </c>
      <c r="C25" s="157">
        <f>IF(D11="","-",+C24+1)</f>
        <v>2022</v>
      </c>
      <c r="D25" s="163">
        <f>IF(F24+SUM(E$17:E24)=D$10,F24,D$10-SUM(E$17:E24))</f>
        <v>4257970.6379598649</v>
      </c>
      <c r="E25" s="164">
        <f t="shared" si="2"/>
        <v>126481.95</v>
      </c>
      <c r="F25" s="163">
        <f t="shared" si="3"/>
        <v>4131488.6879598647</v>
      </c>
      <c r="G25" s="165">
        <f t="shared" si="4"/>
        <v>609816.75040353672</v>
      </c>
      <c r="H25" s="147">
        <f t="shared" si="5"/>
        <v>609816.75040353672</v>
      </c>
      <c r="I25" s="160">
        <f t="shared" si="1"/>
        <v>0</v>
      </c>
      <c r="J25" s="160"/>
      <c r="K25" s="335"/>
      <c r="L25" s="162">
        <f t="shared" si="6"/>
        <v>0</v>
      </c>
      <c r="M25" s="335"/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0"/>
        <v/>
      </c>
      <c r="C26" s="157">
        <f>IF(D11="","-",+C25+1)</f>
        <v>2023</v>
      </c>
      <c r="D26" s="163">
        <f>IF(F25+SUM(E$17:E25)=D$10,F25,D$10-SUM(E$17:E25))</f>
        <v>4131488.6879598647</v>
      </c>
      <c r="E26" s="164">
        <f t="shared" si="2"/>
        <v>126481.95</v>
      </c>
      <c r="F26" s="163">
        <f t="shared" si="3"/>
        <v>4005006.7379598645</v>
      </c>
      <c r="G26" s="165">
        <f t="shared" si="4"/>
        <v>595242.95591143507</v>
      </c>
      <c r="H26" s="147">
        <f t="shared" si="5"/>
        <v>595242.95591143507</v>
      </c>
      <c r="I26" s="160">
        <f t="shared" si="1"/>
        <v>0</v>
      </c>
      <c r="J26" s="160"/>
      <c r="K26" s="335"/>
      <c r="L26" s="162">
        <f t="shared" si="6"/>
        <v>0</v>
      </c>
      <c r="M26" s="335"/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0"/>
        <v/>
      </c>
      <c r="C27" s="157">
        <f>IF(D11="","-",+C26+1)</f>
        <v>2024</v>
      </c>
      <c r="D27" s="163">
        <f>IF(F26+SUM(E$17:E26)=D$10,F26,D$10-SUM(E$17:E26))</f>
        <v>4005006.7379598645</v>
      </c>
      <c r="E27" s="164">
        <f t="shared" si="2"/>
        <v>126481.95</v>
      </c>
      <c r="F27" s="163">
        <f t="shared" si="3"/>
        <v>3878524.7879598644</v>
      </c>
      <c r="G27" s="165">
        <f t="shared" si="4"/>
        <v>580669.16141933331</v>
      </c>
      <c r="H27" s="147">
        <f t="shared" si="5"/>
        <v>580669.16141933331</v>
      </c>
      <c r="I27" s="160">
        <f t="shared" si="1"/>
        <v>0</v>
      </c>
      <c r="J27" s="160"/>
      <c r="K27" s="335"/>
      <c r="L27" s="162">
        <f t="shared" si="6"/>
        <v>0</v>
      </c>
      <c r="M27" s="335"/>
      <c r="N27" s="162">
        <f t="shared" si="7"/>
        <v>0</v>
      </c>
      <c r="O27" s="162">
        <f t="shared" si="8"/>
        <v>0</v>
      </c>
      <c r="P27" s="4"/>
    </row>
    <row r="28" spans="2:16">
      <c r="B28" s="9" t="str">
        <f t="shared" si="0"/>
        <v/>
      </c>
      <c r="C28" s="157">
        <f>IF(D11="","-",+C27+1)</f>
        <v>2025</v>
      </c>
      <c r="D28" s="163">
        <f>IF(F27+SUM(E$17:E27)=D$10,F27,D$10-SUM(E$17:E27))</f>
        <v>3878524.7879598644</v>
      </c>
      <c r="E28" s="164">
        <f t="shared" si="2"/>
        <v>126481.95</v>
      </c>
      <c r="F28" s="163">
        <f t="shared" si="3"/>
        <v>3752042.8379598642</v>
      </c>
      <c r="G28" s="165">
        <f t="shared" si="4"/>
        <v>566095.36692723155</v>
      </c>
      <c r="H28" s="147">
        <f t="shared" si="5"/>
        <v>566095.36692723155</v>
      </c>
      <c r="I28" s="160">
        <f t="shared" si="1"/>
        <v>0</v>
      </c>
      <c r="J28" s="160"/>
      <c r="K28" s="335"/>
      <c r="L28" s="162">
        <f t="shared" si="6"/>
        <v>0</v>
      </c>
      <c r="M28" s="335"/>
      <c r="N28" s="162">
        <f t="shared" si="7"/>
        <v>0</v>
      </c>
      <c r="O28" s="162">
        <f t="shared" si="8"/>
        <v>0</v>
      </c>
      <c r="P28" s="4"/>
    </row>
    <row r="29" spans="2:16">
      <c r="B29" s="9" t="str">
        <f t="shared" si="0"/>
        <v/>
      </c>
      <c r="C29" s="157">
        <f>IF(D11="","-",+C28+1)</f>
        <v>2026</v>
      </c>
      <c r="D29" s="163">
        <f>IF(F28+SUM(E$17:E28)=D$10,F28,D$10-SUM(E$17:E28))</f>
        <v>3752042.8379598642</v>
      </c>
      <c r="E29" s="164">
        <f t="shared" si="2"/>
        <v>126481.95</v>
      </c>
      <c r="F29" s="163">
        <f t="shared" si="3"/>
        <v>3625560.887959864</v>
      </c>
      <c r="G29" s="165">
        <f t="shared" si="4"/>
        <v>551521.5724351299</v>
      </c>
      <c r="H29" s="147">
        <f t="shared" si="5"/>
        <v>551521.5724351299</v>
      </c>
      <c r="I29" s="160">
        <f t="shared" si="1"/>
        <v>0</v>
      </c>
      <c r="J29" s="160"/>
      <c r="K29" s="335"/>
      <c r="L29" s="162">
        <f t="shared" si="6"/>
        <v>0</v>
      </c>
      <c r="M29" s="335"/>
      <c r="N29" s="162">
        <f t="shared" si="7"/>
        <v>0</v>
      </c>
      <c r="O29" s="162">
        <f t="shared" si="8"/>
        <v>0</v>
      </c>
      <c r="P29" s="4"/>
    </row>
    <row r="30" spans="2:16">
      <c r="B30" s="9" t="str">
        <f t="shared" si="0"/>
        <v/>
      </c>
      <c r="C30" s="157">
        <f>IF(D11="","-",+C29+1)</f>
        <v>2027</v>
      </c>
      <c r="D30" s="163">
        <f>IF(F29+SUM(E$17:E29)=D$10,F29,D$10-SUM(E$17:E29))</f>
        <v>3625560.887959864</v>
      </c>
      <c r="E30" s="164">
        <f t="shared" si="2"/>
        <v>126481.95</v>
      </c>
      <c r="F30" s="163">
        <f t="shared" si="3"/>
        <v>3499078.9379598638</v>
      </c>
      <c r="G30" s="165">
        <f t="shared" si="4"/>
        <v>536947.77794302814</v>
      </c>
      <c r="H30" s="147">
        <f t="shared" si="5"/>
        <v>536947.77794302814</v>
      </c>
      <c r="I30" s="160">
        <f t="shared" si="1"/>
        <v>0</v>
      </c>
      <c r="J30" s="160"/>
      <c r="K30" s="335"/>
      <c r="L30" s="162">
        <f t="shared" si="6"/>
        <v>0</v>
      </c>
      <c r="M30" s="335"/>
      <c r="N30" s="162">
        <f t="shared" si="7"/>
        <v>0</v>
      </c>
      <c r="O30" s="162">
        <f t="shared" si="8"/>
        <v>0</v>
      </c>
      <c r="P30" s="4"/>
    </row>
    <row r="31" spans="2:16">
      <c r="B31" s="9" t="str">
        <f t="shared" si="0"/>
        <v/>
      </c>
      <c r="C31" s="157">
        <f>IF(D11="","-",+C30+1)</f>
        <v>2028</v>
      </c>
      <c r="D31" s="163">
        <f>IF(F30+SUM(E$17:E30)=D$10,F30,D$10-SUM(E$17:E30))</f>
        <v>3499078.9379598638</v>
      </c>
      <c r="E31" s="164">
        <f t="shared" si="2"/>
        <v>126481.95</v>
      </c>
      <c r="F31" s="163">
        <f t="shared" si="3"/>
        <v>3372596.9879598636</v>
      </c>
      <c r="G31" s="165">
        <f t="shared" si="4"/>
        <v>522373.98345092643</v>
      </c>
      <c r="H31" s="147">
        <f t="shared" si="5"/>
        <v>522373.98345092643</v>
      </c>
      <c r="I31" s="160">
        <f t="shared" si="1"/>
        <v>0</v>
      </c>
      <c r="J31" s="160"/>
      <c r="K31" s="335"/>
      <c r="L31" s="162">
        <f t="shared" si="6"/>
        <v>0</v>
      </c>
      <c r="M31" s="335"/>
      <c r="N31" s="162">
        <f t="shared" si="7"/>
        <v>0</v>
      </c>
      <c r="O31" s="162">
        <f t="shared" si="8"/>
        <v>0</v>
      </c>
      <c r="P31" s="4"/>
    </row>
    <row r="32" spans="2:16">
      <c r="B32" s="9" t="str">
        <f t="shared" si="0"/>
        <v/>
      </c>
      <c r="C32" s="157">
        <f>IF(D11="","-",+C31+1)</f>
        <v>2029</v>
      </c>
      <c r="D32" s="163">
        <f>IF(F31+SUM(E$17:E31)=D$10,F31,D$10-SUM(E$17:E31))</f>
        <v>3372596.9879598636</v>
      </c>
      <c r="E32" s="164">
        <f t="shared" si="2"/>
        <v>126481.95</v>
      </c>
      <c r="F32" s="163">
        <f t="shared" si="3"/>
        <v>3246115.0379598634</v>
      </c>
      <c r="G32" s="165">
        <f t="shared" si="4"/>
        <v>507800.18895882473</v>
      </c>
      <c r="H32" s="147">
        <f t="shared" si="5"/>
        <v>507800.18895882473</v>
      </c>
      <c r="I32" s="160">
        <f t="shared" si="1"/>
        <v>0</v>
      </c>
      <c r="J32" s="160"/>
      <c r="K32" s="335"/>
      <c r="L32" s="162">
        <f t="shared" si="6"/>
        <v>0</v>
      </c>
      <c r="M32" s="335"/>
      <c r="N32" s="162">
        <f t="shared" si="7"/>
        <v>0</v>
      </c>
      <c r="O32" s="162">
        <f t="shared" si="8"/>
        <v>0</v>
      </c>
      <c r="P32" s="4"/>
    </row>
    <row r="33" spans="2:16">
      <c r="B33" s="9" t="str">
        <f t="shared" si="0"/>
        <v/>
      </c>
      <c r="C33" s="157">
        <f>IF(D11="","-",+C32+1)</f>
        <v>2030</v>
      </c>
      <c r="D33" s="163">
        <f>IF(F32+SUM(E$17:E32)=D$10,F32,D$10-SUM(E$17:E32))</f>
        <v>3246115.0379598634</v>
      </c>
      <c r="E33" s="164">
        <f t="shared" si="2"/>
        <v>126481.95</v>
      </c>
      <c r="F33" s="163">
        <f t="shared" si="3"/>
        <v>3119633.0879598632</v>
      </c>
      <c r="G33" s="165">
        <f t="shared" si="4"/>
        <v>493226.39446672297</v>
      </c>
      <c r="H33" s="147">
        <f t="shared" si="5"/>
        <v>493226.39446672297</v>
      </c>
      <c r="I33" s="160">
        <f t="shared" si="1"/>
        <v>0</v>
      </c>
      <c r="J33" s="160"/>
      <c r="K33" s="335"/>
      <c r="L33" s="162">
        <f t="shared" si="6"/>
        <v>0</v>
      </c>
      <c r="M33" s="335"/>
      <c r="N33" s="162">
        <f t="shared" si="7"/>
        <v>0</v>
      </c>
      <c r="O33" s="162">
        <f t="shared" si="8"/>
        <v>0</v>
      </c>
      <c r="P33" s="4"/>
    </row>
    <row r="34" spans="2:16">
      <c r="B34" s="9" t="str">
        <f t="shared" si="0"/>
        <v/>
      </c>
      <c r="C34" s="157">
        <f>IF(D11="","-",+C33+1)</f>
        <v>2031</v>
      </c>
      <c r="D34" s="163">
        <f>IF(F33+SUM(E$17:E33)=D$10,F33,D$10-SUM(E$17:E33))</f>
        <v>3119633.0879598632</v>
      </c>
      <c r="E34" s="164">
        <f t="shared" si="2"/>
        <v>126481.95</v>
      </c>
      <c r="F34" s="163">
        <f t="shared" si="3"/>
        <v>2993151.1379598631</v>
      </c>
      <c r="G34" s="165">
        <f t="shared" si="4"/>
        <v>478652.59997462126</v>
      </c>
      <c r="H34" s="147">
        <f t="shared" si="5"/>
        <v>478652.59997462126</v>
      </c>
      <c r="I34" s="160">
        <f t="shared" si="1"/>
        <v>0</v>
      </c>
      <c r="J34" s="160"/>
      <c r="K34" s="335"/>
      <c r="L34" s="162">
        <f t="shared" si="6"/>
        <v>0</v>
      </c>
      <c r="M34" s="335"/>
      <c r="N34" s="162">
        <f t="shared" si="7"/>
        <v>0</v>
      </c>
      <c r="O34" s="162">
        <f t="shared" si="8"/>
        <v>0</v>
      </c>
      <c r="P34" s="4"/>
    </row>
    <row r="35" spans="2:16">
      <c r="B35" s="9" t="str">
        <f t="shared" si="0"/>
        <v/>
      </c>
      <c r="C35" s="157">
        <f>IF(D11="","-",+C34+1)</f>
        <v>2032</v>
      </c>
      <c r="D35" s="163">
        <f>IF(F34+SUM(E$17:E34)=D$10,F34,D$10-SUM(E$17:E34))</f>
        <v>2993151.1379598631</v>
      </c>
      <c r="E35" s="164">
        <f t="shared" si="2"/>
        <v>126481.95</v>
      </c>
      <c r="F35" s="163">
        <f t="shared" si="3"/>
        <v>2866669.1879598629</v>
      </c>
      <c r="G35" s="165">
        <f t="shared" si="4"/>
        <v>464078.80548251956</v>
      </c>
      <c r="H35" s="147">
        <f t="shared" si="5"/>
        <v>464078.80548251956</v>
      </c>
      <c r="I35" s="160">
        <f t="shared" si="1"/>
        <v>0</v>
      </c>
      <c r="J35" s="160"/>
      <c r="K35" s="335"/>
      <c r="L35" s="162">
        <f t="shared" si="6"/>
        <v>0</v>
      </c>
      <c r="M35" s="335"/>
      <c r="N35" s="162">
        <f t="shared" si="7"/>
        <v>0</v>
      </c>
      <c r="O35" s="162">
        <f t="shared" si="8"/>
        <v>0</v>
      </c>
      <c r="P35" s="4"/>
    </row>
    <row r="36" spans="2:16">
      <c r="B36" s="9" t="str">
        <f t="shared" si="0"/>
        <v/>
      </c>
      <c r="C36" s="157">
        <f>IF(D11="","-",+C35+1)</f>
        <v>2033</v>
      </c>
      <c r="D36" s="163">
        <f>IF(F35+SUM(E$17:E35)=D$10,F35,D$10-SUM(E$17:E35))</f>
        <v>2866669.1879598629</v>
      </c>
      <c r="E36" s="164">
        <f t="shared" si="2"/>
        <v>126481.95</v>
      </c>
      <c r="F36" s="163">
        <f t="shared" si="3"/>
        <v>2740187.2379598627</v>
      </c>
      <c r="G36" s="165">
        <f t="shared" si="4"/>
        <v>449505.0109904178</v>
      </c>
      <c r="H36" s="147">
        <f t="shared" si="5"/>
        <v>449505.0109904178</v>
      </c>
      <c r="I36" s="160">
        <f t="shared" si="1"/>
        <v>0</v>
      </c>
      <c r="J36" s="160"/>
      <c r="K36" s="335"/>
      <c r="L36" s="162">
        <f t="shared" si="6"/>
        <v>0</v>
      </c>
      <c r="M36" s="335"/>
      <c r="N36" s="162">
        <f t="shared" si="7"/>
        <v>0</v>
      </c>
      <c r="O36" s="162">
        <f t="shared" si="8"/>
        <v>0</v>
      </c>
      <c r="P36" s="4"/>
    </row>
    <row r="37" spans="2:16">
      <c r="B37" s="9" t="str">
        <f t="shared" si="0"/>
        <v/>
      </c>
      <c r="C37" s="157">
        <f>IF(D11="","-",+C36+1)</f>
        <v>2034</v>
      </c>
      <c r="D37" s="163">
        <f>IF(F36+SUM(E$17:E36)=D$10,F36,D$10-SUM(E$17:E36))</f>
        <v>2740187.2379598627</v>
      </c>
      <c r="E37" s="164">
        <f t="shared" si="2"/>
        <v>126481.95</v>
      </c>
      <c r="F37" s="163">
        <f t="shared" si="3"/>
        <v>2613705.2879598625</v>
      </c>
      <c r="G37" s="165">
        <f t="shared" si="4"/>
        <v>434931.21649831609</v>
      </c>
      <c r="H37" s="147">
        <f t="shared" si="5"/>
        <v>434931.21649831609</v>
      </c>
      <c r="I37" s="160">
        <f t="shared" si="1"/>
        <v>0</v>
      </c>
      <c r="J37" s="160"/>
      <c r="K37" s="335"/>
      <c r="L37" s="162">
        <f t="shared" si="6"/>
        <v>0</v>
      </c>
      <c r="M37" s="335"/>
      <c r="N37" s="162">
        <f t="shared" si="7"/>
        <v>0</v>
      </c>
      <c r="O37" s="162">
        <f t="shared" si="8"/>
        <v>0</v>
      </c>
      <c r="P37" s="4"/>
    </row>
    <row r="38" spans="2:16">
      <c r="B38" s="9" t="str">
        <f t="shared" si="0"/>
        <v/>
      </c>
      <c r="C38" s="157">
        <f>IF(D11="","-",+C37+1)</f>
        <v>2035</v>
      </c>
      <c r="D38" s="163">
        <f>IF(F37+SUM(E$17:E37)=D$10,F37,D$10-SUM(E$17:E37))</f>
        <v>2613705.2879598625</v>
      </c>
      <c r="E38" s="164">
        <f t="shared" si="2"/>
        <v>126481.95</v>
      </c>
      <c r="F38" s="163">
        <f t="shared" si="3"/>
        <v>2487223.3379598623</v>
      </c>
      <c r="G38" s="165">
        <f t="shared" si="4"/>
        <v>420357.42200621439</v>
      </c>
      <c r="H38" s="147">
        <f t="shared" si="5"/>
        <v>420357.42200621439</v>
      </c>
      <c r="I38" s="160">
        <f t="shared" si="1"/>
        <v>0</v>
      </c>
      <c r="J38" s="160"/>
      <c r="K38" s="335"/>
      <c r="L38" s="162">
        <f t="shared" si="6"/>
        <v>0</v>
      </c>
      <c r="M38" s="335"/>
      <c r="N38" s="162">
        <f t="shared" si="7"/>
        <v>0</v>
      </c>
      <c r="O38" s="162">
        <f t="shared" si="8"/>
        <v>0</v>
      </c>
      <c r="P38" s="4"/>
    </row>
    <row r="39" spans="2:16">
      <c r="B39" s="9" t="str">
        <f t="shared" si="0"/>
        <v/>
      </c>
      <c r="C39" s="157">
        <f>IF(D11="","-",+C38+1)</f>
        <v>2036</v>
      </c>
      <c r="D39" s="163">
        <f>IF(F38+SUM(E$17:E38)=D$10,F38,D$10-SUM(E$17:E38))</f>
        <v>2487223.3379598623</v>
      </c>
      <c r="E39" s="164">
        <f t="shared" si="2"/>
        <v>126481.95</v>
      </c>
      <c r="F39" s="163">
        <f t="shared" si="3"/>
        <v>2360741.3879598621</v>
      </c>
      <c r="G39" s="165">
        <f t="shared" si="4"/>
        <v>405783.62751411262</v>
      </c>
      <c r="H39" s="147">
        <f t="shared" si="5"/>
        <v>405783.62751411262</v>
      </c>
      <c r="I39" s="160">
        <f t="shared" si="1"/>
        <v>0</v>
      </c>
      <c r="J39" s="160"/>
      <c r="K39" s="335"/>
      <c r="L39" s="162">
        <f t="shared" si="6"/>
        <v>0</v>
      </c>
      <c r="M39" s="335"/>
      <c r="N39" s="162">
        <f t="shared" si="7"/>
        <v>0</v>
      </c>
      <c r="O39" s="162">
        <f t="shared" si="8"/>
        <v>0</v>
      </c>
      <c r="P39" s="4"/>
    </row>
    <row r="40" spans="2:16">
      <c r="B40" s="9" t="str">
        <f t="shared" si="0"/>
        <v/>
      </c>
      <c r="C40" s="157">
        <f>IF(D11="","-",+C39+1)</f>
        <v>2037</v>
      </c>
      <c r="D40" s="163">
        <f>IF(F39+SUM(E$17:E39)=D$10,F39,D$10-SUM(E$17:E39))</f>
        <v>2360741.3879598621</v>
      </c>
      <c r="E40" s="164">
        <f t="shared" si="2"/>
        <v>126481.95</v>
      </c>
      <c r="F40" s="163">
        <f t="shared" si="3"/>
        <v>2234259.4379598619</v>
      </c>
      <c r="G40" s="165">
        <f t="shared" si="4"/>
        <v>391209.83302201092</v>
      </c>
      <c r="H40" s="147">
        <f t="shared" si="5"/>
        <v>391209.83302201092</v>
      </c>
      <c r="I40" s="160">
        <f t="shared" si="1"/>
        <v>0</v>
      </c>
      <c r="J40" s="160"/>
      <c r="K40" s="335"/>
      <c r="L40" s="162">
        <f t="shared" si="6"/>
        <v>0</v>
      </c>
      <c r="M40" s="335"/>
      <c r="N40" s="162">
        <f t="shared" si="7"/>
        <v>0</v>
      </c>
      <c r="O40" s="162">
        <f t="shared" si="8"/>
        <v>0</v>
      </c>
      <c r="P40" s="4"/>
    </row>
    <row r="41" spans="2:16">
      <c r="B41" s="9" t="str">
        <f t="shared" si="0"/>
        <v/>
      </c>
      <c r="C41" s="157">
        <f>IF(D11="","-",+C40+1)</f>
        <v>2038</v>
      </c>
      <c r="D41" s="163">
        <f>IF(F40+SUM(E$17:E40)=D$10,F40,D$10-SUM(E$17:E40))</f>
        <v>2234259.4379598619</v>
      </c>
      <c r="E41" s="164">
        <f t="shared" si="2"/>
        <v>126481.95</v>
      </c>
      <c r="F41" s="163">
        <f t="shared" si="3"/>
        <v>2107777.4879598618</v>
      </c>
      <c r="G41" s="165">
        <f t="shared" si="4"/>
        <v>376636.03852990916</v>
      </c>
      <c r="H41" s="147">
        <f t="shared" si="5"/>
        <v>376636.03852990916</v>
      </c>
      <c r="I41" s="160">
        <f t="shared" si="1"/>
        <v>0</v>
      </c>
      <c r="J41" s="160"/>
      <c r="K41" s="335"/>
      <c r="L41" s="162">
        <f t="shared" si="6"/>
        <v>0</v>
      </c>
      <c r="M41" s="335"/>
      <c r="N41" s="162">
        <f t="shared" si="7"/>
        <v>0</v>
      </c>
      <c r="O41" s="162">
        <f t="shared" si="8"/>
        <v>0</v>
      </c>
      <c r="P41" s="4"/>
    </row>
    <row r="42" spans="2:16">
      <c r="B42" s="9" t="str">
        <f t="shared" si="0"/>
        <v/>
      </c>
      <c r="C42" s="157">
        <f>IF(D11="","-",+C41+1)</f>
        <v>2039</v>
      </c>
      <c r="D42" s="163">
        <f>IF(F41+SUM(E$17:E41)=D$10,F41,D$10-SUM(E$17:E41))</f>
        <v>2107777.4879598618</v>
      </c>
      <c r="E42" s="164">
        <f t="shared" si="2"/>
        <v>126481.95</v>
      </c>
      <c r="F42" s="163">
        <f t="shared" si="3"/>
        <v>1981295.5379598618</v>
      </c>
      <c r="G42" s="165">
        <f t="shared" si="4"/>
        <v>362062.24403780745</v>
      </c>
      <c r="H42" s="147">
        <f t="shared" si="5"/>
        <v>362062.24403780745</v>
      </c>
      <c r="I42" s="160">
        <f t="shared" si="1"/>
        <v>0</v>
      </c>
      <c r="J42" s="160"/>
      <c r="K42" s="335"/>
      <c r="L42" s="162">
        <f t="shared" si="6"/>
        <v>0</v>
      </c>
      <c r="M42" s="335"/>
      <c r="N42" s="162">
        <f t="shared" si="7"/>
        <v>0</v>
      </c>
      <c r="O42" s="162">
        <f t="shared" si="8"/>
        <v>0</v>
      </c>
      <c r="P42" s="4"/>
    </row>
    <row r="43" spans="2:16">
      <c r="B43" s="9" t="str">
        <f t="shared" si="0"/>
        <v/>
      </c>
      <c r="C43" s="157">
        <f>IF(D11="","-",+C42+1)</f>
        <v>2040</v>
      </c>
      <c r="D43" s="163">
        <f>IF(F42+SUM(E$17:E42)=D$10,F42,D$10-SUM(E$17:E42))</f>
        <v>1981295.5379598618</v>
      </c>
      <c r="E43" s="164">
        <f t="shared" si="2"/>
        <v>126481.95</v>
      </c>
      <c r="F43" s="163">
        <f t="shared" si="3"/>
        <v>1854813.5879598618</v>
      </c>
      <c r="G43" s="165">
        <f t="shared" si="4"/>
        <v>347488.44954570575</v>
      </c>
      <c r="H43" s="147">
        <f t="shared" si="5"/>
        <v>347488.44954570575</v>
      </c>
      <c r="I43" s="160">
        <f t="shared" si="1"/>
        <v>0</v>
      </c>
      <c r="J43" s="160"/>
      <c r="K43" s="335"/>
      <c r="L43" s="162">
        <f t="shared" si="6"/>
        <v>0</v>
      </c>
      <c r="M43" s="335"/>
      <c r="N43" s="162">
        <f t="shared" si="7"/>
        <v>0</v>
      </c>
      <c r="O43" s="162">
        <f t="shared" si="8"/>
        <v>0</v>
      </c>
      <c r="P43" s="4"/>
    </row>
    <row r="44" spans="2:16">
      <c r="B44" s="9" t="str">
        <f t="shared" si="0"/>
        <v/>
      </c>
      <c r="C44" s="157">
        <f>IF(D11="","-",+C43+1)</f>
        <v>2041</v>
      </c>
      <c r="D44" s="163">
        <f>IF(F43+SUM(E$17:E43)=D$10,F43,D$10-SUM(E$17:E43))</f>
        <v>1854813.5879598618</v>
      </c>
      <c r="E44" s="164">
        <f t="shared" si="2"/>
        <v>126481.95</v>
      </c>
      <c r="F44" s="163">
        <f t="shared" si="3"/>
        <v>1728331.6379598619</v>
      </c>
      <c r="G44" s="165">
        <f t="shared" si="4"/>
        <v>332914.65505360404</v>
      </c>
      <c r="H44" s="147">
        <f t="shared" si="5"/>
        <v>332914.65505360404</v>
      </c>
      <c r="I44" s="160">
        <f t="shared" si="1"/>
        <v>0</v>
      </c>
      <c r="J44" s="160"/>
      <c r="K44" s="335"/>
      <c r="L44" s="162">
        <f t="shared" si="6"/>
        <v>0</v>
      </c>
      <c r="M44" s="335"/>
      <c r="N44" s="162">
        <f t="shared" si="7"/>
        <v>0</v>
      </c>
      <c r="O44" s="162">
        <f t="shared" si="8"/>
        <v>0</v>
      </c>
      <c r="P44" s="4"/>
    </row>
    <row r="45" spans="2:16">
      <c r="B45" s="9" t="str">
        <f t="shared" si="0"/>
        <v/>
      </c>
      <c r="C45" s="157">
        <f>IF(D11="","-",+C44+1)</f>
        <v>2042</v>
      </c>
      <c r="D45" s="163">
        <f>IF(F44+SUM(E$17:E44)=D$10,F44,D$10-SUM(E$17:E44))</f>
        <v>1728331.6379598619</v>
      </c>
      <c r="E45" s="164">
        <f t="shared" si="2"/>
        <v>126481.95</v>
      </c>
      <c r="F45" s="163">
        <f t="shared" si="3"/>
        <v>1601849.6879598619</v>
      </c>
      <c r="G45" s="165">
        <f t="shared" si="4"/>
        <v>318340.86056150234</v>
      </c>
      <c r="H45" s="147">
        <f t="shared" si="5"/>
        <v>318340.86056150234</v>
      </c>
      <c r="I45" s="160">
        <f t="shared" si="1"/>
        <v>0</v>
      </c>
      <c r="J45" s="160"/>
      <c r="K45" s="335"/>
      <c r="L45" s="162">
        <f t="shared" si="6"/>
        <v>0</v>
      </c>
      <c r="M45" s="335"/>
      <c r="N45" s="162">
        <f t="shared" si="7"/>
        <v>0</v>
      </c>
      <c r="O45" s="162">
        <f t="shared" si="8"/>
        <v>0</v>
      </c>
      <c r="P45" s="4"/>
    </row>
    <row r="46" spans="2:16">
      <c r="B46" s="9" t="str">
        <f t="shared" si="0"/>
        <v/>
      </c>
      <c r="C46" s="157">
        <f>IF(D11="","-",+C45+1)</f>
        <v>2043</v>
      </c>
      <c r="D46" s="163">
        <f>IF(F45+SUM(E$17:E45)=D$10,F45,D$10-SUM(E$17:E45))</f>
        <v>1601849.6879598619</v>
      </c>
      <c r="E46" s="164">
        <f t="shared" si="2"/>
        <v>126481.95</v>
      </c>
      <c r="F46" s="163">
        <f t="shared" si="3"/>
        <v>1475367.737959862</v>
      </c>
      <c r="G46" s="165">
        <f t="shared" si="4"/>
        <v>303767.06606940064</v>
      </c>
      <c r="H46" s="147">
        <f t="shared" si="5"/>
        <v>303767.06606940064</v>
      </c>
      <c r="I46" s="160">
        <f t="shared" si="1"/>
        <v>0</v>
      </c>
      <c r="J46" s="160"/>
      <c r="K46" s="335"/>
      <c r="L46" s="162">
        <f t="shared" si="6"/>
        <v>0</v>
      </c>
      <c r="M46" s="335"/>
      <c r="N46" s="162">
        <f t="shared" si="7"/>
        <v>0</v>
      </c>
      <c r="O46" s="162">
        <f t="shared" si="8"/>
        <v>0</v>
      </c>
      <c r="P46" s="4"/>
    </row>
    <row r="47" spans="2:16">
      <c r="B47" s="9" t="str">
        <f t="shared" si="0"/>
        <v/>
      </c>
      <c r="C47" s="157">
        <f>IF(D11="","-",+C46+1)</f>
        <v>2044</v>
      </c>
      <c r="D47" s="163">
        <f>IF(F46+SUM(E$17:E46)=D$10,F46,D$10-SUM(E$17:E46))</f>
        <v>1475367.737959862</v>
      </c>
      <c r="E47" s="164">
        <f t="shared" si="2"/>
        <v>126481.95</v>
      </c>
      <c r="F47" s="163">
        <f t="shared" si="3"/>
        <v>1348885.787959862</v>
      </c>
      <c r="G47" s="165">
        <f t="shared" si="4"/>
        <v>289193.27157729899</v>
      </c>
      <c r="H47" s="147">
        <f t="shared" si="5"/>
        <v>289193.27157729899</v>
      </c>
      <c r="I47" s="160">
        <f t="shared" si="1"/>
        <v>0</v>
      </c>
      <c r="J47" s="160"/>
      <c r="K47" s="335"/>
      <c r="L47" s="162">
        <f t="shared" si="6"/>
        <v>0</v>
      </c>
      <c r="M47" s="335"/>
      <c r="N47" s="162">
        <f t="shared" si="7"/>
        <v>0</v>
      </c>
      <c r="O47" s="162">
        <f t="shared" si="8"/>
        <v>0</v>
      </c>
      <c r="P47" s="4"/>
    </row>
    <row r="48" spans="2:16">
      <c r="B48" s="9" t="str">
        <f t="shared" si="0"/>
        <v/>
      </c>
      <c r="C48" s="157">
        <f>IF(D11="","-",+C47+1)</f>
        <v>2045</v>
      </c>
      <c r="D48" s="163">
        <f>IF(F47+SUM(E$17:E47)=D$10,F47,D$10-SUM(E$17:E47))</f>
        <v>1348885.787959862</v>
      </c>
      <c r="E48" s="164">
        <f t="shared" si="2"/>
        <v>126481.95</v>
      </c>
      <c r="F48" s="163">
        <f t="shared" si="3"/>
        <v>1222403.8379598621</v>
      </c>
      <c r="G48" s="165">
        <f t="shared" si="4"/>
        <v>274619.47708519723</v>
      </c>
      <c r="H48" s="147">
        <f t="shared" si="5"/>
        <v>274619.47708519723</v>
      </c>
      <c r="I48" s="160">
        <f t="shared" si="1"/>
        <v>0</v>
      </c>
      <c r="J48" s="160"/>
      <c r="K48" s="335"/>
      <c r="L48" s="162">
        <f t="shared" si="6"/>
        <v>0</v>
      </c>
      <c r="M48" s="335"/>
      <c r="N48" s="162">
        <f t="shared" si="7"/>
        <v>0</v>
      </c>
      <c r="O48" s="162">
        <f t="shared" si="8"/>
        <v>0</v>
      </c>
      <c r="P48" s="4"/>
    </row>
    <row r="49" spans="2:16">
      <c r="B49" s="9" t="str">
        <f t="shared" si="0"/>
        <v/>
      </c>
      <c r="C49" s="157">
        <f>IF(D11="","-",+C48+1)</f>
        <v>2046</v>
      </c>
      <c r="D49" s="163">
        <f>IF(F48+SUM(E$17:E48)=D$10,F48,D$10-SUM(E$17:E48))</f>
        <v>1222403.8379598621</v>
      </c>
      <c r="E49" s="164">
        <f t="shared" si="2"/>
        <v>126481.95</v>
      </c>
      <c r="F49" s="163">
        <f t="shared" si="3"/>
        <v>1095921.8879598621</v>
      </c>
      <c r="G49" s="165">
        <f t="shared" si="4"/>
        <v>260045.68259309558</v>
      </c>
      <c r="H49" s="147">
        <f t="shared" si="5"/>
        <v>260045.68259309558</v>
      </c>
      <c r="I49" s="160">
        <f t="shared" si="1"/>
        <v>0</v>
      </c>
      <c r="J49" s="160"/>
      <c r="K49" s="335"/>
      <c r="L49" s="162">
        <f t="shared" si="6"/>
        <v>0</v>
      </c>
      <c r="M49" s="335"/>
      <c r="N49" s="162">
        <f t="shared" si="7"/>
        <v>0</v>
      </c>
      <c r="O49" s="162">
        <f t="shared" si="8"/>
        <v>0</v>
      </c>
      <c r="P49" s="4"/>
    </row>
    <row r="50" spans="2:16">
      <c r="B50" s="9" t="str">
        <f t="shared" si="0"/>
        <v/>
      </c>
      <c r="C50" s="157">
        <f>IF(D11="","-",+C49+1)</f>
        <v>2047</v>
      </c>
      <c r="D50" s="163">
        <f>IF(F49+SUM(E$17:E49)=D$10,F49,D$10-SUM(E$17:E49))</f>
        <v>1095921.8879598621</v>
      </c>
      <c r="E50" s="164">
        <f t="shared" si="2"/>
        <v>126481.95</v>
      </c>
      <c r="F50" s="163">
        <f t="shared" si="3"/>
        <v>969439.93795986217</v>
      </c>
      <c r="G50" s="165">
        <f t="shared" si="4"/>
        <v>245471.88810099385</v>
      </c>
      <c r="H50" s="147">
        <f t="shared" si="5"/>
        <v>245471.88810099385</v>
      </c>
      <c r="I50" s="160">
        <f t="shared" si="1"/>
        <v>0</v>
      </c>
      <c r="J50" s="160"/>
      <c r="K50" s="335"/>
      <c r="L50" s="162">
        <f t="shared" si="6"/>
        <v>0</v>
      </c>
      <c r="M50" s="335"/>
      <c r="N50" s="162">
        <f t="shared" si="7"/>
        <v>0</v>
      </c>
      <c r="O50" s="162">
        <f t="shared" si="8"/>
        <v>0</v>
      </c>
      <c r="P50" s="4"/>
    </row>
    <row r="51" spans="2:16">
      <c r="B51" s="9" t="str">
        <f t="shared" si="0"/>
        <v/>
      </c>
      <c r="C51" s="157">
        <f>IF(D11="","-",+C50+1)</f>
        <v>2048</v>
      </c>
      <c r="D51" s="163">
        <f>IF(F50+SUM(E$17:E50)=D$10,F50,D$10-SUM(E$17:E50))</f>
        <v>969439.93795986217</v>
      </c>
      <c r="E51" s="164">
        <f t="shared" si="2"/>
        <v>126481.95</v>
      </c>
      <c r="F51" s="163">
        <f t="shared" si="3"/>
        <v>842957.98795986222</v>
      </c>
      <c r="G51" s="165">
        <f t="shared" si="4"/>
        <v>230898.09360889214</v>
      </c>
      <c r="H51" s="147">
        <f t="shared" si="5"/>
        <v>230898.09360889214</v>
      </c>
      <c r="I51" s="160">
        <f t="shared" si="1"/>
        <v>0</v>
      </c>
      <c r="J51" s="160"/>
      <c r="K51" s="335"/>
      <c r="L51" s="162">
        <f t="shared" si="6"/>
        <v>0</v>
      </c>
      <c r="M51" s="335"/>
      <c r="N51" s="162">
        <f t="shared" si="7"/>
        <v>0</v>
      </c>
      <c r="O51" s="162">
        <f t="shared" si="8"/>
        <v>0</v>
      </c>
      <c r="P51" s="4"/>
    </row>
    <row r="52" spans="2:16">
      <c r="B52" s="9" t="str">
        <f t="shared" si="0"/>
        <v/>
      </c>
      <c r="C52" s="157">
        <f>IF(D11="","-",+C51+1)</f>
        <v>2049</v>
      </c>
      <c r="D52" s="163">
        <f>IF(F51+SUM(E$17:E51)=D$10,F51,D$10-SUM(E$17:E51))</f>
        <v>842957.98795986222</v>
      </c>
      <c r="E52" s="164">
        <f t="shared" si="2"/>
        <v>126481.95</v>
      </c>
      <c r="F52" s="163">
        <f t="shared" si="3"/>
        <v>716476.03795986227</v>
      </c>
      <c r="G52" s="165">
        <f t="shared" si="4"/>
        <v>216324.29911679047</v>
      </c>
      <c r="H52" s="147">
        <f t="shared" si="5"/>
        <v>216324.29911679047</v>
      </c>
      <c r="I52" s="160">
        <f t="shared" si="1"/>
        <v>0</v>
      </c>
      <c r="J52" s="160"/>
      <c r="K52" s="335"/>
      <c r="L52" s="162">
        <f t="shared" si="6"/>
        <v>0</v>
      </c>
      <c r="M52" s="335"/>
      <c r="N52" s="162">
        <f t="shared" si="7"/>
        <v>0</v>
      </c>
      <c r="O52" s="162">
        <f t="shared" si="8"/>
        <v>0</v>
      </c>
      <c r="P52" s="4"/>
    </row>
    <row r="53" spans="2:16">
      <c r="B53" s="9" t="str">
        <f t="shared" si="0"/>
        <v/>
      </c>
      <c r="C53" s="157">
        <f>IF(D11="","-",+C52+1)</f>
        <v>2050</v>
      </c>
      <c r="D53" s="163">
        <f>IF(F52+SUM(E$17:E52)=D$10,F52,D$10-SUM(E$17:E52))</f>
        <v>716476.03795986227</v>
      </c>
      <c r="E53" s="164">
        <f t="shared" si="2"/>
        <v>126481.95</v>
      </c>
      <c r="F53" s="163">
        <f t="shared" si="3"/>
        <v>589994.08795986231</v>
      </c>
      <c r="G53" s="165">
        <f t="shared" si="4"/>
        <v>201750.50462468877</v>
      </c>
      <c r="H53" s="147">
        <f t="shared" si="5"/>
        <v>201750.50462468877</v>
      </c>
      <c r="I53" s="160">
        <f t="shared" si="1"/>
        <v>0</v>
      </c>
      <c r="J53" s="160"/>
      <c r="K53" s="335"/>
      <c r="L53" s="162">
        <f t="shared" si="6"/>
        <v>0</v>
      </c>
      <c r="M53" s="335"/>
      <c r="N53" s="162">
        <f t="shared" si="7"/>
        <v>0</v>
      </c>
      <c r="O53" s="162">
        <f t="shared" si="8"/>
        <v>0</v>
      </c>
      <c r="P53" s="4"/>
    </row>
    <row r="54" spans="2:16">
      <c r="B54" s="9" t="str">
        <f t="shared" si="0"/>
        <v/>
      </c>
      <c r="C54" s="157">
        <f>IF(D11="","-",+C53+1)</f>
        <v>2051</v>
      </c>
      <c r="D54" s="163">
        <f>IF(F53+SUM(E$17:E53)=D$10,F53,D$10-SUM(E$17:E53))</f>
        <v>589994.08795986231</v>
      </c>
      <c r="E54" s="164">
        <f t="shared" si="2"/>
        <v>126481.95</v>
      </c>
      <c r="F54" s="163">
        <f t="shared" si="3"/>
        <v>463512.1379598623</v>
      </c>
      <c r="G54" s="165">
        <f t="shared" si="4"/>
        <v>187176.71013258706</v>
      </c>
      <c r="H54" s="147">
        <f t="shared" si="5"/>
        <v>187176.71013258706</v>
      </c>
      <c r="I54" s="160">
        <f t="shared" si="1"/>
        <v>0</v>
      </c>
      <c r="J54" s="160"/>
      <c r="K54" s="335"/>
      <c r="L54" s="162">
        <f t="shared" si="6"/>
        <v>0</v>
      </c>
      <c r="M54" s="335"/>
      <c r="N54" s="162">
        <f t="shared" si="7"/>
        <v>0</v>
      </c>
      <c r="O54" s="162">
        <f t="shared" si="8"/>
        <v>0</v>
      </c>
      <c r="P54" s="4"/>
    </row>
    <row r="55" spans="2:16">
      <c r="B55" s="9" t="str">
        <f t="shared" si="0"/>
        <v/>
      </c>
      <c r="C55" s="157">
        <f>IF(D11="","-",+C54+1)</f>
        <v>2052</v>
      </c>
      <c r="D55" s="163">
        <f>IF(F54+SUM(E$17:E54)=D$10,F54,D$10-SUM(E$17:E54))</f>
        <v>463512.1379598623</v>
      </c>
      <c r="E55" s="164">
        <f t="shared" si="2"/>
        <v>126481.95</v>
      </c>
      <c r="F55" s="163">
        <f t="shared" si="3"/>
        <v>337030.18795986229</v>
      </c>
      <c r="G55" s="165">
        <f t="shared" si="4"/>
        <v>172602.91564048533</v>
      </c>
      <c r="H55" s="147">
        <f t="shared" si="5"/>
        <v>172602.91564048533</v>
      </c>
      <c r="I55" s="160">
        <f t="shared" si="1"/>
        <v>0</v>
      </c>
      <c r="J55" s="160"/>
      <c r="K55" s="335"/>
      <c r="L55" s="162">
        <f t="shared" si="6"/>
        <v>0</v>
      </c>
      <c r="M55" s="335"/>
      <c r="N55" s="162">
        <f t="shared" si="7"/>
        <v>0</v>
      </c>
      <c r="O55" s="162">
        <f t="shared" si="8"/>
        <v>0</v>
      </c>
      <c r="P55" s="4"/>
    </row>
    <row r="56" spans="2:16">
      <c r="B56" s="9" t="str">
        <f t="shared" si="0"/>
        <v/>
      </c>
      <c r="C56" s="157">
        <f>IF(D11="","-",+C55+1)</f>
        <v>2053</v>
      </c>
      <c r="D56" s="163">
        <f>IF(F55+SUM(E$17:E55)=D$10,F55,D$10-SUM(E$17:E55))</f>
        <v>337030.18795986229</v>
      </c>
      <c r="E56" s="164">
        <f t="shared" si="2"/>
        <v>126481.95</v>
      </c>
      <c r="F56" s="163">
        <f t="shared" si="3"/>
        <v>210548.23795986228</v>
      </c>
      <c r="G56" s="165">
        <f t="shared" si="4"/>
        <v>158029.12114838365</v>
      </c>
      <c r="H56" s="147">
        <f t="shared" si="5"/>
        <v>158029.12114838365</v>
      </c>
      <c r="I56" s="160">
        <f t="shared" si="1"/>
        <v>0</v>
      </c>
      <c r="J56" s="160"/>
      <c r="K56" s="335"/>
      <c r="L56" s="162">
        <f t="shared" si="6"/>
        <v>0</v>
      </c>
      <c r="M56" s="335"/>
      <c r="N56" s="162">
        <f t="shared" si="7"/>
        <v>0</v>
      </c>
      <c r="O56" s="162">
        <f t="shared" si="8"/>
        <v>0</v>
      </c>
      <c r="P56" s="4"/>
    </row>
    <row r="57" spans="2:16">
      <c r="B57" s="9" t="str">
        <f t="shared" si="0"/>
        <v/>
      </c>
      <c r="C57" s="157">
        <f>IF(D11="","-",+C56+1)</f>
        <v>2054</v>
      </c>
      <c r="D57" s="163">
        <f>IF(F56+SUM(E$17:E56)=D$10,F56,D$10-SUM(E$17:E56))</f>
        <v>210548.23795986228</v>
      </c>
      <c r="E57" s="164">
        <f t="shared" si="2"/>
        <v>126481.95</v>
      </c>
      <c r="F57" s="163">
        <f t="shared" si="3"/>
        <v>84066.287959862282</v>
      </c>
      <c r="G57" s="165">
        <f t="shared" si="4"/>
        <v>143455.32665628192</v>
      </c>
      <c r="H57" s="147">
        <f t="shared" si="5"/>
        <v>143455.32665628192</v>
      </c>
      <c r="I57" s="160">
        <f t="shared" si="1"/>
        <v>0</v>
      </c>
      <c r="J57" s="160"/>
      <c r="K57" s="335"/>
      <c r="L57" s="162">
        <f t="shared" si="6"/>
        <v>0</v>
      </c>
      <c r="M57" s="335"/>
      <c r="N57" s="162">
        <f t="shared" si="7"/>
        <v>0</v>
      </c>
      <c r="O57" s="162">
        <f t="shared" si="8"/>
        <v>0</v>
      </c>
      <c r="P57" s="4"/>
    </row>
    <row r="58" spans="2:16">
      <c r="B58" s="9" t="str">
        <f t="shared" si="0"/>
        <v/>
      </c>
      <c r="C58" s="157">
        <f>IF(D11="","-",+C57+1)</f>
        <v>2055</v>
      </c>
      <c r="D58" s="163">
        <f>IF(F57+SUM(E$17:E57)=D$10,F57,D$10-SUM(E$17:E57))</f>
        <v>84066.287959862282</v>
      </c>
      <c r="E58" s="164">
        <f t="shared" si="2"/>
        <v>84066.287959862282</v>
      </c>
      <c r="F58" s="163">
        <f t="shared" si="3"/>
        <v>0</v>
      </c>
      <c r="G58" s="165">
        <f t="shared" si="4"/>
        <v>88909.527664977824</v>
      </c>
      <c r="H58" s="147">
        <f t="shared" si="5"/>
        <v>88909.527664977824</v>
      </c>
      <c r="I58" s="160">
        <f t="shared" si="1"/>
        <v>0</v>
      </c>
      <c r="J58" s="160"/>
      <c r="K58" s="335"/>
      <c r="L58" s="162">
        <f t="shared" si="6"/>
        <v>0</v>
      </c>
      <c r="M58" s="335"/>
      <c r="N58" s="162">
        <f t="shared" si="7"/>
        <v>0</v>
      </c>
      <c r="O58" s="162">
        <f t="shared" si="8"/>
        <v>0</v>
      </c>
      <c r="P58" s="4"/>
    </row>
    <row r="59" spans="2:16">
      <c r="B59" s="9" t="str">
        <f t="shared" si="0"/>
        <v/>
      </c>
      <c r="C59" s="157">
        <f>IF(D11="","-",+C58+1)</f>
        <v>2056</v>
      </c>
      <c r="D59" s="163">
        <f>IF(F58+SUM(E$17:E58)=D$10,F58,D$10-SUM(E$17:E58))</f>
        <v>0</v>
      </c>
      <c r="E59" s="164">
        <f t="shared" si="2"/>
        <v>0</v>
      </c>
      <c r="F59" s="163">
        <f t="shared" si="3"/>
        <v>0</v>
      </c>
      <c r="G59" s="165">
        <f t="shared" si="4"/>
        <v>0</v>
      </c>
      <c r="H59" s="147">
        <f t="shared" si="5"/>
        <v>0</v>
      </c>
      <c r="I59" s="160">
        <f t="shared" si="1"/>
        <v>0</v>
      </c>
      <c r="J59" s="160"/>
      <c r="K59" s="335"/>
      <c r="L59" s="162">
        <f t="shared" si="6"/>
        <v>0</v>
      </c>
      <c r="M59" s="335"/>
      <c r="N59" s="162">
        <f t="shared" si="7"/>
        <v>0</v>
      </c>
      <c r="O59" s="162">
        <f t="shared" si="8"/>
        <v>0</v>
      </c>
      <c r="P59" s="4"/>
    </row>
    <row r="60" spans="2:16">
      <c r="B60" s="9" t="str">
        <f t="shared" si="0"/>
        <v/>
      </c>
      <c r="C60" s="157">
        <f>IF(D11="","-",+C59+1)</f>
        <v>2057</v>
      </c>
      <c r="D60" s="163">
        <f>IF(F59+SUM(E$17:E59)=D$10,F59,D$10-SUM(E$17:E59))</f>
        <v>0</v>
      </c>
      <c r="E60" s="164">
        <f t="shared" si="2"/>
        <v>0</v>
      </c>
      <c r="F60" s="163">
        <f t="shared" si="3"/>
        <v>0</v>
      </c>
      <c r="G60" s="165">
        <f t="shared" si="4"/>
        <v>0</v>
      </c>
      <c r="H60" s="147">
        <f t="shared" si="5"/>
        <v>0</v>
      </c>
      <c r="I60" s="160">
        <f t="shared" si="1"/>
        <v>0</v>
      </c>
      <c r="J60" s="160"/>
      <c r="K60" s="335"/>
      <c r="L60" s="162">
        <f t="shared" si="6"/>
        <v>0</v>
      </c>
      <c r="M60" s="335"/>
      <c r="N60" s="162">
        <f t="shared" si="7"/>
        <v>0</v>
      </c>
      <c r="O60" s="162">
        <f t="shared" si="8"/>
        <v>0</v>
      </c>
      <c r="P60" s="4"/>
    </row>
    <row r="61" spans="2:16">
      <c r="B61" s="9" t="str">
        <f t="shared" si="0"/>
        <v/>
      </c>
      <c r="C61" s="157">
        <f>IF(D11="","-",+C60+1)</f>
        <v>2058</v>
      </c>
      <c r="D61" s="163">
        <f>IF(F60+SUM(E$17:E60)=D$10,F60,D$10-SUM(E$17:E60))</f>
        <v>0</v>
      </c>
      <c r="E61" s="164">
        <f t="shared" si="2"/>
        <v>0</v>
      </c>
      <c r="F61" s="163">
        <f t="shared" si="3"/>
        <v>0</v>
      </c>
      <c r="G61" s="165">
        <f t="shared" si="4"/>
        <v>0</v>
      </c>
      <c r="H61" s="147">
        <f t="shared" si="5"/>
        <v>0</v>
      </c>
      <c r="I61" s="160">
        <f t="shared" si="1"/>
        <v>0</v>
      </c>
      <c r="J61" s="160"/>
      <c r="K61" s="335"/>
      <c r="L61" s="162">
        <f t="shared" si="6"/>
        <v>0</v>
      </c>
      <c r="M61" s="335"/>
      <c r="N61" s="162">
        <f t="shared" si="7"/>
        <v>0</v>
      </c>
      <c r="O61" s="162">
        <f t="shared" si="8"/>
        <v>0</v>
      </c>
      <c r="P61" s="4"/>
    </row>
    <row r="62" spans="2:16">
      <c r="B62" s="9" t="str">
        <f t="shared" si="0"/>
        <v/>
      </c>
      <c r="C62" s="157">
        <f>IF(D11="","-",+C61+1)</f>
        <v>2059</v>
      </c>
      <c r="D62" s="163">
        <f>IF(F61+SUM(E$17:E61)=D$10,F61,D$10-SUM(E$17:E61))</f>
        <v>0</v>
      </c>
      <c r="E62" s="164">
        <f t="shared" si="2"/>
        <v>0</v>
      </c>
      <c r="F62" s="163">
        <f t="shared" si="3"/>
        <v>0</v>
      </c>
      <c r="G62" s="165">
        <f t="shared" si="4"/>
        <v>0</v>
      </c>
      <c r="H62" s="147">
        <f t="shared" si="5"/>
        <v>0</v>
      </c>
      <c r="I62" s="160">
        <f t="shared" si="1"/>
        <v>0</v>
      </c>
      <c r="J62" s="160"/>
      <c r="K62" s="335"/>
      <c r="L62" s="162">
        <f t="shared" si="6"/>
        <v>0</v>
      </c>
      <c r="M62" s="335"/>
      <c r="N62" s="162">
        <f t="shared" si="7"/>
        <v>0</v>
      </c>
      <c r="O62" s="162">
        <f t="shared" si="8"/>
        <v>0</v>
      </c>
      <c r="P62" s="4"/>
    </row>
    <row r="63" spans="2:16">
      <c r="B63" s="9" t="str">
        <f t="shared" si="0"/>
        <v/>
      </c>
      <c r="C63" s="157">
        <f>IF(D11="","-",+C62+1)</f>
        <v>2060</v>
      </c>
      <c r="D63" s="163">
        <f>IF(F62+SUM(E$17:E62)=D$10,F62,D$10-SUM(E$17:E62))</f>
        <v>0</v>
      </c>
      <c r="E63" s="164">
        <f t="shared" si="2"/>
        <v>0</v>
      </c>
      <c r="F63" s="163">
        <f t="shared" si="3"/>
        <v>0</v>
      </c>
      <c r="G63" s="165">
        <f t="shared" si="4"/>
        <v>0</v>
      </c>
      <c r="H63" s="147">
        <f t="shared" si="5"/>
        <v>0</v>
      </c>
      <c r="I63" s="160">
        <f t="shared" si="1"/>
        <v>0</v>
      </c>
      <c r="J63" s="160"/>
      <c r="K63" s="335"/>
      <c r="L63" s="162">
        <f t="shared" si="6"/>
        <v>0</v>
      </c>
      <c r="M63" s="335"/>
      <c r="N63" s="162">
        <f t="shared" si="7"/>
        <v>0</v>
      </c>
      <c r="O63" s="162">
        <f t="shared" si="8"/>
        <v>0</v>
      </c>
      <c r="P63" s="4"/>
    </row>
    <row r="64" spans="2:16">
      <c r="B64" s="9" t="str">
        <f t="shared" si="0"/>
        <v/>
      </c>
      <c r="C64" s="157">
        <f>IF(D11="","-",+C63+1)</f>
        <v>2061</v>
      </c>
      <c r="D64" s="163">
        <f>IF(F63+SUM(E$17:E63)=D$10,F63,D$10-SUM(E$17:E63))</f>
        <v>0</v>
      </c>
      <c r="E64" s="164">
        <f t="shared" si="2"/>
        <v>0</v>
      </c>
      <c r="F64" s="163">
        <f t="shared" si="3"/>
        <v>0</v>
      </c>
      <c r="G64" s="165">
        <f t="shared" si="4"/>
        <v>0</v>
      </c>
      <c r="H64" s="147">
        <f t="shared" si="5"/>
        <v>0</v>
      </c>
      <c r="I64" s="160">
        <f t="shared" si="1"/>
        <v>0</v>
      </c>
      <c r="J64" s="160"/>
      <c r="K64" s="335"/>
      <c r="L64" s="162">
        <f t="shared" si="6"/>
        <v>0</v>
      </c>
      <c r="M64" s="335"/>
      <c r="N64" s="162">
        <f t="shared" si="7"/>
        <v>0</v>
      </c>
      <c r="O64" s="162">
        <f t="shared" si="8"/>
        <v>0</v>
      </c>
      <c r="P64" s="4"/>
    </row>
    <row r="65" spans="2:16">
      <c r="B65" s="9" t="str">
        <f t="shared" si="0"/>
        <v/>
      </c>
      <c r="C65" s="157">
        <f>IF(D11="","-",+C64+1)</f>
        <v>2062</v>
      </c>
      <c r="D65" s="163">
        <f>IF(F64+SUM(E$17:E64)=D$10,F64,D$10-SUM(E$17:E64))</f>
        <v>0</v>
      </c>
      <c r="E65" s="164">
        <f t="shared" si="2"/>
        <v>0</v>
      </c>
      <c r="F65" s="163">
        <f t="shared" si="3"/>
        <v>0</v>
      </c>
      <c r="G65" s="165">
        <f t="shared" si="4"/>
        <v>0</v>
      </c>
      <c r="H65" s="147">
        <f t="shared" si="5"/>
        <v>0</v>
      </c>
      <c r="I65" s="160">
        <f t="shared" si="1"/>
        <v>0</v>
      </c>
      <c r="J65" s="160"/>
      <c r="K65" s="335"/>
      <c r="L65" s="162">
        <f t="shared" si="6"/>
        <v>0</v>
      </c>
      <c r="M65" s="335"/>
      <c r="N65" s="162">
        <f t="shared" si="7"/>
        <v>0</v>
      </c>
      <c r="O65" s="162">
        <f t="shared" si="8"/>
        <v>0</v>
      </c>
      <c r="P65" s="4"/>
    </row>
    <row r="66" spans="2:16">
      <c r="B66" s="9" t="str">
        <f t="shared" si="0"/>
        <v/>
      </c>
      <c r="C66" s="157">
        <f>IF(D11="","-",+C65+1)</f>
        <v>2063</v>
      </c>
      <c r="D66" s="163">
        <f>IF(F65+SUM(E$17:E65)=D$10,F65,D$10-SUM(E$17:E65))</f>
        <v>0</v>
      </c>
      <c r="E66" s="164">
        <f t="shared" si="2"/>
        <v>0</v>
      </c>
      <c r="F66" s="163">
        <f t="shared" si="3"/>
        <v>0</v>
      </c>
      <c r="G66" s="165">
        <f t="shared" si="4"/>
        <v>0</v>
      </c>
      <c r="H66" s="147">
        <f t="shared" si="5"/>
        <v>0</v>
      </c>
      <c r="I66" s="160">
        <f t="shared" si="1"/>
        <v>0</v>
      </c>
      <c r="J66" s="160"/>
      <c r="K66" s="335"/>
      <c r="L66" s="162">
        <f t="shared" si="6"/>
        <v>0</v>
      </c>
      <c r="M66" s="335"/>
      <c r="N66" s="162">
        <f t="shared" si="7"/>
        <v>0</v>
      </c>
      <c r="O66" s="162">
        <f t="shared" si="8"/>
        <v>0</v>
      </c>
      <c r="P66" s="4"/>
    </row>
    <row r="67" spans="2:16">
      <c r="B67" s="9" t="str">
        <f t="shared" si="0"/>
        <v/>
      </c>
      <c r="C67" s="157">
        <f>IF(D11="","-",+C66+1)</f>
        <v>2064</v>
      </c>
      <c r="D67" s="163">
        <f>IF(F66+SUM(E$17:E66)=D$10,F66,D$10-SUM(E$17:E66))</f>
        <v>0</v>
      </c>
      <c r="E67" s="164">
        <f t="shared" si="2"/>
        <v>0</v>
      </c>
      <c r="F67" s="163">
        <f t="shared" si="3"/>
        <v>0</v>
      </c>
      <c r="G67" s="165">
        <f t="shared" si="4"/>
        <v>0</v>
      </c>
      <c r="H67" s="147">
        <f t="shared" si="5"/>
        <v>0</v>
      </c>
      <c r="I67" s="160">
        <f t="shared" si="1"/>
        <v>0</v>
      </c>
      <c r="J67" s="160"/>
      <c r="K67" s="335"/>
      <c r="L67" s="162">
        <f t="shared" si="6"/>
        <v>0</v>
      </c>
      <c r="M67" s="335"/>
      <c r="N67" s="162">
        <f t="shared" si="7"/>
        <v>0</v>
      </c>
      <c r="O67" s="162">
        <f t="shared" si="8"/>
        <v>0</v>
      </c>
      <c r="P67" s="4"/>
    </row>
    <row r="68" spans="2:16">
      <c r="B68" s="9" t="str">
        <f t="shared" si="0"/>
        <v/>
      </c>
      <c r="C68" s="157">
        <f>IF(D11="","-",+C67+1)</f>
        <v>2065</v>
      </c>
      <c r="D68" s="163">
        <f>IF(F67+SUM(E$17:E67)=D$10,F67,D$10-SUM(E$17:E67))</f>
        <v>0</v>
      </c>
      <c r="E68" s="164">
        <f t="shared" si="2"/>
        <v>0</v>
      </c>
      <c r="F68" s="163">
        <f t="shared" si="3"/>
        <v>0</v>
      </c>
      <c r="G68" s="165">
        <f t="shared" si="4"/>
        <v>0</v>
      </c>
      <c r="H68" s="147">
        <f t="shared" si="5"/>
        <v>0</v>
      </c>
      <c r="I68" s="160">
        <f t="shared" si="1"/>
        <v>0</v>
      </c>
      <c r="J68" s="160"/>
      <c r="K68" s="335"/>
      <c r="L68" s="162">
        <f t="shared" si="6"/>
        <v>0</v>
      </c>
      <c r="M68" s="335"/>
      <c r="N68" s="162">
        <f t="shared" si="7"/>
        <v>0</v>
      </c>
      <c r="O68" s="162">
        <f t="shared" si="8"/>
        <v>0</v>
      </c>
      <c r="P68" s="4"/>
    </row>
    <row r="69" spans="2:16">
      <c r="B69" s="9" t="str">
        <f t="shared" si="0"/>
        <v/>
      </c>
      <c r="C69" s="157">
        <f>IF(D11="","-",+C68+1)</f>
        <v>2066</v>
      </c>
      <c r="D69" s="163">
        <f>IF(F68+SUM(E$17:E68)=D$10,F68,D$10-SUM(E$17:E68))</f>
        <v>0</v>
      </c>
      <c r="E69" s="164">
        <f t="shared" si="2"/>
        <v>0</v>
      </c>
      <c r="F69" s="163">
        <f t="shared" si="3"/>
        <v>0</v>
      </c>
      <c r="G69" s="165">
        <f t="shared" si="4"/>
        <v>0</v>
      </c>
      <c r="H69" s="147">
        <f t="shared" si="5"/>
        <v>0</v>
      </c>
      <c r="I69" s="160">
        <f t="shared" si="1"/>
        <v>0</v>
      </c>
      <c r="J69" s="160"/>
      <c r="K69" s="335"/>
      <c r="L69" s="162">
        <f t="shared" si="6"/>
        <v>0</v>
      </c>
      <c r="M69" s="335"/>
      <c r="N69" s="162">
        <f t="shared" si="7"/>
        <v>0</v>
      </c>
      <c r="O69" s="162">
        <f t="shared" si="8"/>
        <v>0</v>
      </c>
      <c r="P69" s="4"/>
    </row>
    <row r="70" spans="2:16">
      <c r="B70" s="9" t="str">
        <f t="shared" si="0"/>
        <v/>
      </c>
      <c r="C70" s="157">
        <f>IF(D11="","-",+C69+1)</f>
        <v>2067</v>
      </c>
      <c r="D70" s="163">
        <f>IF(F69+SUM(E$17:E69)=D$10,F69,D$10-SUM(E$17:E69))</f>
        <v>0</v>
      </c>
      <c r="E70" s="164">
        <f t="shared" si="2"/>
        <v>0</v>
      </c>
      <c r="F70" s="163">
        <f t="shared" si="3"/>
        <v>0</v>
      </c>
      <c r="G70" s="165">
        <f t="shared" si="4"/>
        <v>0</v>
      </c>
      <c r="H70" s="147">
        <f t="shared" si="5"/>
        <v>0</v>
      </c>
      <c r="I70" s="160">
        <f t="shared" si="1"/>
        <v>0</v>
      </c>
      <c r="J70" s="160"/>
      <c r="K70" s="335"/>
      <c r="L70" s="162">
        <f t="shared" si="6"/>
        <v>0</v>
      </c>
      <c r="M70" s="335"/>
      <c r="N70" s="162">
        <f t="shared" si="7"/>
        <v>0</v>
      </c>
      <c r="O70" s="162">
        <f t="shared" si="8"/>
        <v>0</v>
      </c>
      <c r="P70" s="4"/>
    </row>
    <row r="71" spans="2:16">
      <c r="B71" s="9" t="str">
        <f t="shared" si="0"/>
        <v/>
      </c>
      <c r="C71" s="157">
        <f>IF(D11="","-",+C70+1)</f>
        <v>2068</v>
      </c>
      <c r="D71" s="163">
        <f>IF(F70+SUM(E$17:E70)=D$10,F70,D$10-SUM(E$17:E70))</f>
        <v>0</v>
      </c>
      <c r="E71" s="164">
        <f t="shared" si="2"/>
        <v>0</v>
      </c>
      <c r="F71" s="163">
        <f t="shared" si="3"/>
        <v>0</v>
      </c>
      <c r="G71" s="165">
        <f t="shared" si="4"/>
        <v>0</v>
      </c>
      <c r="H71" s="147">
        <f t="shared" si="5"/>
        <v>0</v>
      </c>
      <c r="I71" s="160">
        <f t="shared" si="1"/>
        <v>0</v>
      </c>
      <c r="J71" s="160"/>
      <c r="K71" s="335"/>
      <c r="L71" s="162">
        <f t="shared" si="6"/>
        <v>0</v>
      </c>
      <c r="M71" s="335"/>
      <c r="N71" s="162">
        <f t="shared" si="7"/>
        <v>0</v>
      </c>
      <c r="O71" s="162">
        <f t="shared" si="8"/>
        <v>0</v>
      </c>
      <c r="P71" s="4"/>
    </row>
    <row r="72" spans="2:16" ht="13.5" thickBot="1">
      <c r="B72" s="9" t="str">
        <f t="shared" si="0"/>
        <v/>
      </c>
      <c r="C72" s="168">
        <f>IF(D11="","-",+C71+1)</f>
        <v>2069</v>
      </c>
      <c r="D72" s="169">
        <f>IF(F71+SUM(E$17:E71)=D$10,F71,D$10-SUM(E$17:E71))</f>
        <v>0</v>
      </c>
      <c r="E72" s="170">
        <f t="shared" si="2"/>
        <v>0</v>
      </c>
      <c r="F72" s="169">
        <f t="shared" si="3"/>
        <v>0</v>
      </c>
      <c r="G72" s="377">
        <f t="shared" si="4"/>
        <v>0</v>
      </c>
      <c r="H72" s="130">
        <f t="shared" si="5"/>
        <v>0</v>
      </c>
      <c r="I72" s="172">
        <f t="shared" si="1"/>
        <v>0</v>
      </c>
      <c r="J72" s="160"/>
      <c r="K72" s="336"/>
      <c r="L72" s="173">
        <f t="shared" si="6"/>
        <v>0</v>
      </c>
      <c r="M72" s="336"/>
      <c r="N72" s="173">
        <f t="shared" si="7"/>
        <v>0</v>
      </c>
      <c r="O72" s="173">
        <f t="shared" si="8"/>
        <v>0</v>
      </c>
      <c r="P72" s="4"/>
    </row>
    <row r="73" spans="2:16">
      <c r="C73" s="158" t="s">
        <v>72</v>
      </c>
      <c r="D73" s="115"/>
      <c r="E73" s="115">
        <f>SUM(E17:E72)</f>
        <v>5059278</v>
      </c>
      <c r="F73" s="115"/>
      <c r="G73" s="115">
        <f>SUM(G17:G72)</f>
        <v>18108479.514763962</v>
      </c>
      <c r="H73" s="115">
        <f>SUM(H17:H72)</f>
        <v>18108479.514763962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16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714452.30434782605</v>
      </c>
      <c r="N87" s="202">
        <f>IF(J92&lt;D11,0,VLOOKUP(J92,C17:O72,11))</f>
        <v>714452.30434782605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718467.13067498105</v>
      </c>
      <c r="N88" s="204">
        <f>IF(J92&lt;D11,0,VLOOKUP(J92,C99:P154,7))</f>
        <v>718467.13067498105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Cornville Station Conversion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4014.8263271549949</v>
      </c>
      <c r="N89" s="207">
        <f>+N88-N87</f>
        <v>4014.8263271549949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TP2011093</v>
      </c>
      <c r="E91" s="210" t="str">
        <f>E9</f>
        <v xml:space="preserve">  SPP Project ID = 30346</v>
      </c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5059278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2014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109984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 ht="13.5" thickBot="1">
      <c r="C99" s="157">
        <f>IF(D93= "","-",D93)</f>
        <v>2014</v>
      </c>
      <c r="D99" s="436">
        <v>0</v>
      </c>
      <c r="E99" s="437">
        <v>0</v>
      </c>
      <c r="F99" s="438">
        <v>4992922.66</v>
      </c>
      <c r="G99" s="448">
        <v>2496461.33</v>
      </c>
      <c r="H99" s="449">
        <v>350992.25806989282</v>
      </c>
      <c r="I99" s="450">
        <v>350992.25806989282</v>
      </c>
      <c r="J99" s="162">
        <v>0</v>
      </c>
      <c r="K99" s="162"/>
      <c r="L99" s="338">
        <f>H99</f>
        <v>350992.25806989282</v>
      </c>
      <c r="M99" s="175">
        <f>IF(L99&lt;&gt;0,+H99-L99,0)</f>
        <v>0</v>
      </c>
      <c r="N99" s="338">
        <f>I99</f>
        <v>350992.25806989282</v>
      </c>
      <c r="O99" s="160">
        <f>IF(N99&lt;&gt;0,+I99-N99,0)</f>
        <v>0</v>
      </c>
      <c r="P99" s="162">
        <f>+O99-M99</f>
        <v>0</v>
      </c>
    </row>
    <row r="100" spans="1:16" ht="13.5" thickBot="1">
      <c r="B100" s="9" t="str">
        <f>IF(D100=F99,"","IU")</f>
        <v>IU</v>
      </c>
      <c r="C100" s="157">
        <f>IF(D93="","-",+C99+1)</f>
        <v>2015</v>
      </c>
      <c r="D100" s="436">
        <v>5071338</v>
      </c>
      <c r="E100" s="437">
        <v>97526</v>
      </c>
      <c r="F100" s="438">
        <v>4973812</v>
      </c>
      <c r="G100" s="448">
        <v>5022575</v>
      </c>
      <c r="H100" s="449">
        <v>782815.97525692882</v>
      </c>
      <c r="I100" s="450">
        <v>782815.97525692882</v>
      </c>
      <c r="J100" s="162">
        <f>+I100-H100</f>
        <v>0</v>
      </c>
      <c r="K100" s="162"/>
      <c r="L100" s="338">
        <f>H100</f>
        <v>782815.97525692882</v>
      </c>
      <c r="M100" s="175">
        <f>IF(L100&lt;&gt;0,+H100-L100,0)</f>
        <v>0</v>
      </c>
      <c r="N100" s="338">
        <f>I100</f>
        <v>782815.97525692882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9">IF(D101=F100,"","IU")</f>
        <v>IU</v>
      </c>
      <c r="C101" s="157">
        <f>IF(D93="","-",+C100+1)</f>
        <v>2016</v>
      </c>
      <c r="D101" s="436">
        <v>4961752</v>
      </c>
      <c r="E101" s="437">
        <v>109984</v>
      </c>
      <c r="F101" s="438">
        <v>4851768</v>
      </c>
      <c r="G101" s="448">
        <v>4906760</v>
      </c>
      <c r="H101" s="449">
        <v>742542.63994670648</v>
      </c>
      <c r="I101" s="450">
        <v>742542.63994670648</v>
      </c>
      <c r="J101" s="162">
        <v>0</v>
      </c>
      <c r="K101" s="162"/>
      <c r="L101" s="338">
        <f>H101</f>
        <v>742542.63994670648</v>
      </c>
      <c r="M101" s="175">
        <f>IF(L101&lt;&gt;0,+H101-L101,0)</f>
        <v>0</v>
      </c>
      <c r="N101" s="338">
        <f>I101</f>
        <v>742542.63994670648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9"/>
        <v/>
      </c>
      <c r="C102" s="157">
        <f>IF(D93="","-",+C101+1)</f>
        <v>2017</v>
      </c>
      <c r="D102" s="158">
        <f>IF(F101+SUM(E$99:E101)=D$92,F101,D$92-SUM(E$99:E101))</f>
        <v>4851768</v>
      </c>
      <c r="E102" s="164">
        <f t="shared" ref="E102:E154" si="10">IF(+J$96&lt;F101,J$96,D102)</f>
        <v>109984</v>
      </c>
      <c r="F102" s="163">
        <f t="shared" ref="F102:F154" si="11">+D102-E102</f>
        <v>4741784</v>
      </c>
      <c r="G102" s="163">
        <f t="shared" ref="G102:G154" si="12">+(F102+D102)/2</f>
        <v>4796776</v>
      </c>
      <c r="H102" s="167">
        <f t="shared" ref="H102:H154" si="13">+J$94*G102+E102</f>
        <v>718467.13067498105</v>
      </c>
      <c r="I102" s="317">
        <f t="shared" ref="I102:I154" si="14">+J$95*G102+E102</f>
        <v>718467.13067498105</v>
      </c>
      <c r="J102" s="162">
        <f t="shared" ref="J102:J154" si="15">+I102-H102</f>
        <v>0</v>
      </c>
      <c r="K102" s="162"/>
      <c r="L102" s="335"/>
      <c r="M102" s="162">
        <f t="shared" ref="M102:M130" si="16">IF(L102&lt;&gt;0,+H102-L102,0)</f>
        <v>0</v>
      </c>
      <c r="N102" s="335"/>
      <c r="O102" s="162">
        <f t="shared" ref="O102:O130" si="17">IF(N102&lt;&gt;0,+I102-N102,0)</f>
        <v>0</v>
      </c>
      <c r="P102" s="162">
        <f t="shared" ref="P102:P130" si="18">+O102-M102</f>
        <v>0</v>
      </c>
    </row>
    <row r="103" spans="1:16">
      <c r="B103" s="9" t="str">
        <f t="shared" si="9"/>
        <v/>
      </c>
      <c r="C103" s="157">
        <f>IF(D93="","-",+C102+1)</f>
        <v>2018</v>
      </c>
      <c r="D103" s="158">
        <f>IF(F102+SUM(E$99:E102)=D$92,F102,D$92-SUM(E$99:E102))</f>
        <v>4741784</v>
      </c>
      <c r="E103" s="164">
        <f t="shared" si="10"/>
        <v>109984</v>
      </c>
      <c r="F103" s="163">
        <f t="shared" si="11"/>
        <v>4631800</v>
      </c>
      <c r="G103" s="163">
        <f t="shared" si="12"/>
        <v>4686792</v>
      </c>
      <c r="H103" s="167">
        <f t="shared" si="13"/>
        <v>704515.38295022654</v>
      </c>
      <c r="I103" s="317">
        <f t="shared" si="14"/>
        <v>704515.38295022654</v>
      </c>
      <c r="J103" s="162">
        <f t="shared" si="15"/>
        <v>0</v>
      </c>
      <c r="K103" s="162"/>
      <c r="L103" s="335"/>
      <c r="M103" s="162">
        <f t="shared" si="16"/>
        <v>0</v>
      </c>
      <c r="N103" s="335"/>
      <c r="O103" s="162">
        <f t="shared" si="17"/>
        <v>0</v>
      </c>
      <c r="P103" s="162">
        <f t="shared" si="18"/>
        <v>0</v>
      </c>
    </row>
    <row r="104" spans="1:16">
      <c r="B104" s="9" t="str">
        <f t="shared" si="9"/>
        <v/>
      </c>
      <c r="C104" s="157">
        <f>IF(D93="","-",+C103+1)</f>
        <v>2019</v>
      </c>
      <c r="D104" s="158">
        <f>IF(F103+SUM(E$99:E103)=D$92,F103,D$92-SUM(E$99:E103))</f>
        <v>4631800</v>
      </c>
      <c r="E104" s="164">
        <f t="shared" si="10"/>
        <v>109984</v>
      </c>
      <c r="F104" s="163">
        <f t="shared" si="11"/>
        <v>4521816</v>
      </c>
      <c r="G104" s="163">
        <f t="shared" si="12"/>
        <v>4576808</v>
      </c>
      <c r="H104" s="167">
        <f t="shared" si="13"/>
        <v>690563.63522547204</v>
      </c>
      <c r="I104" s="317">
        <f t="shared" si="14"/>
        <v>690563.63522547204</v>
      </c>
      <c r="J104" s="162">
        <f t="shared" si="15"/>
        <v>0</v>
      </c>
      <c r="K104" s="162"/>
      <c r="L104" s="335"/>
      <c r="M104" s="162">
        <f t="shared" si="16"/>
        <v>0</v>
      </c>
      <c r="N104" s="335"/>
      <c r="O104" s="162">
        <f t="shared" si="17"/>
        <v>0</v>
      </c>
      <c r="P104" s="162">
        <f t="shared" si="18"/>
        <v>0</v>
      </c>
    </row>
    <row r="105" spans="1:16">
      <c r="B105" s="9" t="str">
        <f t="shared" si="9"/>
        <v/>
      </c>
      <c r="C105" s="157">
        <f>IF(D93="","-",+C104+1)</f>
        <v>2020</v>
      </c>
      <c r="D105" s="158">
        <f>IF(F104+SUM(E$99:E104)=D$92,F104,D$92-SUM(E$99:E104))</f>
        <v>4521816</v>
      </c>
      <c r="E105" s="164">
        <f t="shared" si="10"/>
        <v>109984</v>
      </c>
      <c r="F105" s="163">
        <f t="shared" si="11"/>
        <v>4411832</v>
      </c>
      <c r="G105" s="163">
        <f t="shared" si="12"/>
        <v>4466824</v>
      </c>
      <c r="H105" s="167">
        <f t="shared" si="13"/>
        <v>676611.88750071742</v>
      </c>
      <c r="I105" s="317">
        <f t="shared" si="14"/>
        <v>676611.88750071742</v>
      </c>
      <c r="J105" s="162">
        <f t="shared" si="15"/>
        <v>0</v>
      </c>
      <c r="K105" s="162"/>
      <c r="L105" s="335"/>
      <c r="M105" s="162">
        <f t="shared" si="16"/>
        <v>0</v>
      </c>
      <c r="N105" s="335"/>
      <c r="O105" s="162">
        <f t="shared" si="17"/>
        <v>0</v>
      </c>
      <c r="P105" s="162">
        <f t="shared" si="18"/>
        <v>0</v>
      </c>
    </row>
    <row r="106" spans="1:16">
      <c r="B106" s="9" t="str">
        <f t="shared" si="9"/>
        <v/>
      </c>
      <c r="C106" s="157">
        <f>IF(D93="","-",+C105+1)</f>
        <v>2021</v>
      </c>
      <c r="D106" s="158">
        <f>IF(F105+SUM(E$99:E105)=D$92,F105,D$92-SUM(E$99:E105))</f>
        <v>4411832</v>
      </c>
      <c r="E106" s="164">
        <f t="shared" si="10"/>
        <v>109984</v>
      </c>
      <c r="F106" s="163">
        <f t="shared" si="11"/>
        <v>4301848</v>
      </c>
      <c r="G106" s="163">
        <f t="shared" si="12"/>
        <v>4356840</v>
      </c>
      <c r="H106" s="167">
        <f t="shared" si="13"/>
        <v>662660.13977596292</v>
      </c>
      <c r="I106" s="317">
        <f t="shared" si="14"/>
        <v>662660.13977596292</v>
      </c>
      <c r="J106" s="162">
        <f t="shared" si="15"/>
        <v>0</v>
      </c>
      <c r="K106" s="162"/>
      <c r="L106" s="335"/>
      <c r="M106" s="162">
        <f t="shared" si="16"/>
        <v>0</v>
      </c>
      <c r="N106" s="335"/>
      <c r="O106" s="162">
        <f t="shared" si="17"/>
        <v>0</v>
      </c>
      <c r="P106" s="162">
        <f t="shared" si="18"/>
        <v>0</v>
      </c>
    </row>
    <row r="107" spans="1:16">
      <c r="B107" s="9" t="str">
        <f t="shared" si="9"/>
        <v/>
      </c>
      <c r="C107" s="157">
        <f>IF(D93="","-",+C106+1)</f>
        <v>2022</v>
      </c>
      <c r="D107" s="158">
        <f>IF(F106+SUM(E$99:E106)=D$92,F106,D$92-SUM(E$99:E106))</f>
        <v>4301848</v>
      </c>
      <c r="E107" s="164">
        <f t="shared" si="10"/>
        <v>109984</v>
      </c>
      <c r="F107" s="163">
        <f t="shared" si="11"/>
        <v>4191864</v>
      </c>
      <c r="G107" s="163">
        <f t="shared" si="12"/>
        <v>4246856</v>
      </c>
      <c r="H107" s="167">
        <f t="shared" si="13"/>
        <v>648708.39205120842</v>
      </c>
      <c r="I107" s="317">
        <f t="shared" si="14"/>
        <v>648708.39205120842</v>
      </c>
      <c r="J107" s="162">
        <f t="shared" si="15"/>
        <v>0</v>
      </c>
      <c r="K107" s="162"/>
      <c r="L107" s="335"/>
      <c r="M107" s="162">
        <f t="shared" si="16"/>
        <v>0</v>
      </c>
      <c r="N107" s="335"/>
      <c r="O107" s="162">
        <f t="shared" si="17"/>
        <v>0</v>
      </c>
      <c r="P107" s="162">
        <f t="shared" si="18"/>
        <v>0</v>
      </c>
    </row>
    <row r="108" spans="1:16">
      <c r="B108" s="9" t="str">
        <f t="shared" si="9"/>
        <v/>
      </c>
      <c r="C108" s="157">
        <f>IF(D93="","-",+C107+1)</f>
        <v>2023</v>
      </c>
      <c r="D108" s="158">
        <f>IF(F107+SUM(E$99:E107)=D$92,F107,D$92-SUM(E$99:E107))</f>
        <v>4191864</v>
      </c>
      <c r="E108" s="164">
        <f t="shared" si="10"/>
        <v>109984</v>
      </c>
      <c r="F108" s="163">
        <f t="shared" si="11"/>
        <v>4081880</v>
      </c>
      <c r="G108" s="163">
        <f t="shared" si="12"/>
        <v>4136872</v>
      </c>
      <c r="H108" s="167">
        <f t="shared" si="13"/>
        <v>634756.64432645391</v>
      </c>
      <c r="I108" s="317">
        <f t="shared" si="14"/>
        <v>634756.64432645391</v>
      </c>
      <c r="J108" s="162">
        <f t="shared" si="15"/>
        <v>0</v>
      </c>
      <c r="K108" s="162"/>
      <c r="L108" s="335"/>
      <c r="M108" s="162">
        <f t="shared" si="16"/>
        <v>0</v>
      </c>
      <c r="N108" s="335"/>
      <c r="O108" s="162">
        <f t="shared" si="17"/>
        <v>0</v>
      </c>
      <c r="P108" s="162">
        <f t="shared" si="18"/>
        <v>0</v>
      </c>
    </row>
    <row r="109" spans="1:16">
      <c r="B109" s="9" t="str">
        <f t="shared" si="9"/>
        <v/>
      </c>
      <c r="C109" s="157">
        <f>IF(D93="","-",+C108+1)</f>
        <v>2024</v>
      </c>
      <c r="D109" s="158">
        <f>IF(F108+SUM(E$99:E108)=D$92,F108,D$92-SUM(E$99:E108))</f>
        <v>4081880</v>
      </c>
      <c r="E109" s="164">
        <f t="shared" si="10"/>
        <v>109984</v>
      </c>
      <c r="F109" s="163">
        <f t="shared" si="11"/>
        <v>3971896</v>
      </c>
      <c r="G109" s="163">
        <f t="shared" si="12"/>
        <v>4026888</v>
      </c>
      <c r="H109" s="167">
        <f t="shared" si="13"/>
        <v>620804.89660169929</v>
      </c>
      <c r="I109" s="317">
        <f t="shared" si="14"/>
        <v>620804.89660169929</v>
      </c>
      <c r="J109" s="162">
        <f t="shared" si="15"/>
        <v>0</v>
      </c>
      <c r="K109" s="162"/>
      <c r="L109" s="335"/>
      <c r="M109" s="162">
        <f t="shared" si="16"/>
        <v>0</v>
      </c>
      <c r="N109" s="335"/>
      <c r="O109" s="162">
        <f t="shared" si="17"/>
        <v>0</v>
      </c>
      <c r="P109" s="162">
        <f t="shared" si="18"/>
        <v>0</v>
      </c>
    </row>
    <row r="110" spans="1:16">
      <c r="B110" s="9" t="str">
        <f t="shared" si="9"/>
        <v/>
      </c>
      <c r="C110" s="157">
        <f>IF(D93="","-",+C109+1)</f>
        <v>2025</v>
      </c>
      <c r="D110" s="158">
        <f>IF(F109+SUM(E$99:E109)=D$92,F109,D$92-SUM(E$99:E109))</f>
        <v>3971896</v>
      </c>
      <c r="E110" s="164">
        <f t="shared" si="10"/>
        <v>109984</v>
      </c>
      <c r="F110" s="163">
        <f t="shared" si="11"/>
        <v>3861912</v>
      </c>
      <c r="G110" s="163">
        <f t="shared" si="12"/>
        <v>3916904</v>
      </c>
      <c r="H110" s="167">
        <f t="shared" si="13"/>
        <v>606853.14887694479</v>
      </c>
      <c r="I110" s="317">
        <f t="shared" si="14"/>
        <v>606853.14887694479</v>
      </c>
      <c r="J110" s="162">
        <f t="shared" si="15"/>
        <v>0</v>
      </c>
      <c r="K110" s="162"/>
      <c r="L110" s="335"/>
      <c r="M110" s="162">
        <f t="shared" si="16"/>
        <v>0</v>
      </c>
      <c r="N110" s="335"/>
      <c r="O110" s="162">
        <f t="shared" si="17"/>
        <v>0</v>
      </c>
      <c r="P110" s="162">
        <f t="shared" si="18"/>
        <v>0</v>
      </c>
    </row>
    <row r="111" spans="1:16">
      <c r="B111" s="9" t="str">
        <f t="shared" si="9"/>
        <v/>
      </c>
      <c r="C111" s="157">
        <f>IF(D93="","-",+C110+1)</f>
        <v>2026</v>
      </c>
      <c r="D111" s="158">
        <f>IF(F110+SUM(E$99:E110)=D$92,F110,D$92-SUM(E$99:E110))</f>
        <v>3861912</v>
      </c>
      <c r="E111" s="164">
        <f t="shared" si="10"/>
        <v>109984</v>
      </c>
      <c r="F111" s="163">
        <f t="shared" si="11"/>
        <v>3751928</v>
      </c>
      <c r="G111" s="163">
        <f t="shared" si="12"/>
        <v>3806920</v>
      </c>
      <c r="H111" s="167">
        <f t="shared" si="13"/>
        <v>592901.40115219029</v>
      </c>
      <c r="I111" s="317">
        <f t="shared" si="14"/>
        <v>592901.40115219029</v>
      </c>
      <c r="J111" s="162">
        <f t="shared" si="15"/>
        <v>0</v>
      </c>
      <c r="K111" s="162"/>
      <c r="L111" s="335"/>
      <c r="M111" s="162">
        <f t="shared" si="16"/>
        <v>0</v>
      </c>
      <c r="N111" s="335"/>
      <c r="O111" s="162">
        <f t="shared" si="17"/>
        <v>0</v>
      </c>
      <c r="P111" s="162">
        <f t="shared" si="18"/>
        <v>0</v>
      </c>
    </row>
    <row r="112" spans="1:16">
      <c r="B112" s="9" t="str">
        <f t="shared" si="9"/>
        <v/>
      </c>
      <c r="C112" s="157">
        <f>IF(D93="","-",+C111+1)</f>
        <v>2027</v>
      </c>
      <c r="D112" s="158">
        <f>IF(F111+SUM(E$99:E111)=D$92,F111,D$92-SUM(E$99:E111))</f>
        <v>3751928</v>
      </c>
      <c r="E112" s="164">
        <f t="shared" si="10"/>
        <v>109984</v>
      </c>
      <c r="F112" s="163">
        <f t="shared" si="11"/>
        <v>3641944</v>
      </c>
      <c r="G112" s="163">
        <f t="shared" si="12"/>
        <v>3696936</v>
      </c>
      <c r="H112" s="167">
        <f t="shared" si="13"/>
        <v>578949.65342743578</v>
      </c>
      <c r="I112" s="317">
        <f t="shared" si="14"/>
        <v>578949.65342743578</v>
      </c>
      <c r="J112" s="162">
        <f t="shared" si="15"/>
        <v>0</v>
      </c>
      <c r="K112" s="162"/>
      <c r="L112" s="335"/>
      <c r="M112" s="162">
        <f t="shared" si="16"/>
        <v>0</v>
      </c>
      <c r="N112" s="335"/>
      <c r="O112" s="162">
        <f t="shared" si="17"/>
        <v>0</v>
      </c>
      <c r="P112" s="162">
        <f t="shared" si="18"/>
        <v>0</v>
      </c>
    </row>
    <row r="113" spans="2:16">
      <c r="B113" s="9" t="str">
        <f t="shared" si="9"/>
        <v/>
      </c>
      <c r="C113" s="157">
        <f>IF(D93="","-",+C112+1)</f>
        <v>2028</v>
      </c>
      <c r="D113" s="158">
        <f>IF(F112+SUM(E$99:E112)=D$92,F112,D$92-SUM(E$99:E112))</f>
        <v>3641944</v>
      </c>
      <c r="E113" s="164">
        <f t="shared" si="10"/>
        <v>109984</v>
      </c>
      <c r="F113" s="163">
        <f t="shared" si="11"/>
        <v>3531960</v>
      </c>
      <c r="G113" s="163">
        <f t="shared" si="12"/>
        <v>3586952</v>
      </c>
      <c r="H113" s="167">
        <f t="shared" si="13"/>
        <v>564997.90570268128</v>
      </c>
      <c r="I113" s="317">
        <f t="shared" si="14"/>
        <v>564997.90570268128</v>
      </c>
      <c r="J113" s="162">
        <f t="shared" si="15"/>
        <v>0</v>
      </c>
      <c r="K113" s="162"/>
      <c r="L113" s="335"/>
      <c r="M113" s="162">
        <f t="shared" si="16"/>
        <v>0</v>
      </c>
      <c r="N113" s="335"/>
      <c r="O113" s="162">
        <f t="shared" si="17"/>
        <v>0</v>
      </c>
      <c r="P113" s="162">
        <f t="shared" si="18"/>
        <v>0</v>
      </c>
    </row>
    <row r="114" spans="2:16">
      <c r="B114" s="9" t="str">
        <f t="shared" si="9"/>
        <v/>
      </c>
      <c r="C114" s="157">
        <f>IF(D93="","-",+C113+1)</f>
        <v>2029</v>
      </c>
      <c r="D114" s="158">
        <f>IF(F113+SUM(E$99:E113)=D$92,F113,D$92-SUM(E$99:E113))</f>
        <v>3531960</v>
      </c>
      <c r="E114" s="164">
        <f t="shared" si="10"/>
        <v>109984</v>
      </c>
      <c r="F114" s="163">
        <f t="shared" si="11"/>
        <v>3421976</v>
      </c>
      <c r="G114" s="163">
        <f t="shared" si="12"/>
        <v>3476968</v>
      </c>
      <c r="H114" s="167">
        <f t="shared" si="13"/>
        <v>551046.15797792678</v>
      </c>
      <c r="I114" s="317">
        <f t="shared" si="14"/>
        <v>551046.15797792678</v>
      </c>
      <c r="J114" s="162">
        <f t="shared" si="15"/>
        <v>0</v>
      </c>
      <c r="K114" s="162"/>
      <c r="L114" s="335"/>
      <c r="M114" s="162">
        <f t="shared" si="16"/>
        <v>0</v>
      </c>
      <c r="N114" s="335"/>
      <c r="O114" s="162">
        <f t="shared" si="17"/>
        <v>0</v>
      </c>
      <c r="P114" s="162">
        <f t="shared" si="18"/>
        <v>0</v>
      </c>
    </row>
    <row r="115" spans="2:16">
      <c r="B115" s="9" t="str">
        <f t="shared" si="9"/>
        <v/>
      </c>
      <c r="C115" s="157">
        <f>IF(D93="","-",+C114+1)</f>
        <v>2030</v>
      </c>
      <c r="D115" s="158">
        <f>IF(F114+SUM(E$99:E114)=D$92,F114,D$92-SUM(E$99:E114))</f>
        <v>3421976</v>
      </c>
      <c r="E115" s="164">
        <f t="shared" si="10"/>
        <v>109984</v>
      </c>
      <c r="F115" s="163">
        <f t="shared" si="11"/>
        <v>3311992</v>
      </c>
      <c r="G115" s="163">
        <f t="shared" si="12"/>
        <v>3366984</v>
      </c>
      <c r="H115" s="167">
        <f t="shared" si="13"/>
        <v>537094.41025317227</v>
      </c>
      <c r="I115" s="317">
        <f t="shared" si="14"/>
        <v>537094.41025317227</v>
      </c>
      <c r="J115" s="162">
        <f t="shared" si="15"/>
        <v>0</v>
      </c>
      <c r="K115" s="162"/>
      <c r="L115" s="335"/>
      <c r="M115" s="162">
        <f t="shared" si="16"/>
        <v>0</v>
      </c>
      <c r="N115" s="335"/>
      <c r="O115" s="162">
        <f t="shared" si="17"/>
        <v>0</v>
      </c>
      <c r="P115" s="162">
        <f t="shared" si="18"/>
        <v>0</v>
      </c>
    </row>
    <row r="116" spans="2:16">
      <c r="B116" s="9" t="str">
        <f t="shared" si="9"/>
        <v/>
      </c>
      <c r="C116" s="157">
        <f>IF(D93="","-",+C115+1)</f>
        <v>2031</v>
      </c>
      <c r="D116" s="158">
        <f>IF(F115+SUM(E$99:E115)=D$92,F115,D$92-SUM(E$99:E115))</f>
        <v>3311992</v>
      </c>
      <c r="E116" s="164">
        <f t="shared" si="10"/>
        <v>109984</v>
      </c>
      <c r="F116" s="163">
        <f t="shared" si="11"/>
        <v>3202008</v>
      </c>
      <c r="G116" s="163">
        <f t="shared" si="12"/>
        <v>3257000</v>
      </c>
      <c r="H116" s="167">
        <f t="shared" si="13"/>
        <v>523142.66252841771</v>
      </c>
      <c r="I116" s="317">
        <f t="shared" si="14"/>
        <v>523142.66252841771</v>
      </c>
      <c r="J116" s="162">
        <f t="shared" si="15"/>
        <v>0</v>
      </c>
      <c r="K116" s="162"/>
      <c r="L116" s="335"/>
      <c r="M116" s="162">
        <f t="shared" si="16"/>
        <v>0</v>
      </c>
      <c r="N116" s="335"/>
      <c r="O116" s="162">
        <f t="shared" si="17"/>
        <v>0</v>
      </c>
      <c r="P116" s="162">
        <f t="shared" si="18"/>
        <v>0</v>
      </c>
    </row>
    <row r="117" spans="2:16">
      <c r="B117" s="9" t="str">
        <f t="shared" si="9"/>
        <v/>
      </c>
      <c r="C117" s="157">
        <f>IF(D93="","-",+C116+1)</f>
        <v>2032</v>
      </c>
      <c r="D117" s="158">
        <f>IF(F116+SUM(E$99:E116)=D$92,F116,D$92-SUM(E$99:E116))</f>
        <v>3202008</v>
      </c>
      <c r="E117" s="164">
        <f t="shared" si="10"/>
        <v>109984</v>
      </c>
      <c r="F117" s="163">
        <f t="shared" si="11"/>
        <v>3092024</v>
      </c>
      <c r="G117" s="163">
        <f t="shared" si="12"/>
        <v>3147016</v>
      </c>
      <c r="H117" s="167">
        <f t="shared" si="13"/>
        <v>509190.91480366315</v>
      </c>
      <c r="I117" s="317">
        <f t="shared" si="14"/>
        <v>509190.91480366315</v>
      </c>
      <c r="J117" s="162">
        <f t="shared" si="15"/>
        <v>0</v>
      </c>
      <c r="K117" s="162"/>
      <c r="L117" s="335"/>
      <c r="M117" s="162">
        <f t="shared" si="16"/>
        <v>0</v>
      </c>
      <c r="N117" s="335"/>
      <c r="O117" s="162">
        <f t="shared" si="17"/>
        <v>0</v>
      </c>
      <c r="P117" s="162">
        <f t="shared" si="18"/>
        <v>0</v>
      </c>
    </row>
    <row r="118" spans="2:16">
      <c r="B118" s="9" t="str">
        <f t="shared" si="9"/>
        <v/>
      </c>
      <c r="C118" s="157">
        <f>IF(D93="","-",+C117+1)</f>
        <v>2033</v>
      </c>
      <c r="D118" s="158">
        <f>IF(F117+SUM(E$99:E117)=D$92,F117,D$92-SUM(E$99:E117))</f>
        <v>3092024</v>
      </c>
      <c r="E118" s="164">
        <f t="shared" si="10"/>
        <v>109984</v>
      </c>
      <c r="F118" s="163">
        <f t="shared" si="11"/>
        <v>2982040</v>
      </c>
      <c r="G118" s="163">
        <f t="shared" si="12"/>
        <v>3037032</v>
      </c>
      <c r="H118" s="167">
        <f t="shared" si="13"/>
        <v>495239.16707890865</v>
      </c>
      <c r="I118" s="317">
        <f t="shared" si="14"/>
        <v>495239.16707890865</v>
      </c>
      <c r="J118" s="162">
        <f t="shared" si="15"/>
        <v>0</v>
      </c>
      <c r="K118" s="162"/>
      <c r="L118" s="335"/>
      <c r="M118" s="162">
        <f t="shared" si="16"/>
        <v>0</v>
      </c>
      <c r="N118" s="335"/>
      <c r="O118" s="162">
        <f t="shared" si="17"/>
        <v>0</v>
      </c>
      <c r="P118" s="162">
        <f t="shared" si="18"/>
        <v>0</v>
      </c>
    </row>
    <row r="119" spans="2:16">
      <c r="B119" s="9" t="str">
        <f t="shared" si="9"/>
        <v/>
      </c>
      <c r="C119" s="157">
        <f>IF(D93="","-",+C118+1)</f>
        <v>2034</v>
      </c>
      <c r="D119" s="158">
        <f>IF(F118+SUM(E$99:E118)=D$92,F118,D$92-SUM(E$99:E118))</f>
        <v>2982040</v>
      </c>
      <c r="E119" s="164">
        <f t="shared" si="10"/>
        <v>109984</v>
      </c>
      <c r="F119" s="163">
        <f t="shared" si="11"/>
        <v>2872056</v>
      </c>
      <c r="G119" s="163">
        <f t="shared" si="12"/>
        <v>2927048</v>
      </c>
      <c r="H119" s="167">
        <f t="shared" si="13"/>
        <v>481287.41935415409</v>
      </c>
      <c r="I119" s="317">
        <f t="shared" si="14"/>
        <v>481287.41935415409</v>
      </c>
      <c r="J119" s="162">
        <f t="shared" si="15"/>
        <v>0</v>
      </c>
      <c r="K119" s="162"/>
      <c r="L119" s="335"/>
      <c r="M119" s="162">
        <f t="shared" si="16"/>
        <v>0</v>
      </c>
      <c r="N119" s="335"/>
      <c r="O119" s="162">
        <f t="shared" si="17"/>
        <v>0</v>
      </c>
      <c r="P119" s="162">
        <f t="shared" si="18"/>
        <v>0</v>
      </c>
    </row>
    <row r="120" spans="2:16">
      <c r="B120" s="9" t="str">
        <f t="shared" si="9"/>
        <v/>
      </c>
      <c r="C120" s="157">
        <f>IF(D93="","-",+C119+1)</f>
        <v>2035</v>
      </c>
      <c r="D120" s="158">
        <f>IF(F119+SUM(E$99:E119)=D$92,F119,D$92-SUM(E$99:E119))</f>
        <v>2872056</v>
      </c>
      <c r="E120" s="164">
        <f t="shared" si="10"/>
        <v>109984</v>
      </c>
      <c r="F120" s="163">
        <f t="shared" si="11"/>
        <v>2762072</v>
      </c>
      <c r="G120" s="163">
        <f t="shared" si="12"/>
        <v>2817064</v>
      </c>
      <c r="H120" s="167">
        <f t="shared" si="13"/>
        <v>467335.67162939959</v>
      </c>
      <c r="I120" s="317">
        <f t="shared" si="14"/>
        <v>467335.67162939959</v>
      </c>
      <c r="J120" s="162">
        <f t="shared" si="15"/>
        <v>0</v>
      </c>
      <c r="K120" s="162"/>
      <c r="L120" s="335"/>
      <c r="M120" s="162">
        <f t="shared" si="16"/>
        <v>0</v>
      </c>
      <c r="N120" s="335"/>
      <c r="O120" s="162">
        <f t="shared" si="17"/>
        <v>0</v>
      </c>
      <c r="P120" s="162">
        <f t="shared" si="18"/>
        <v>0</v>
      </c>
    </row>
    <row r="121" spans="2:16">
      <c r="B121" s="9" t="str">
        <f t="shared" si="9"/>
        <v/>
      </c>
      <c r="C121" s="157">
        <f>IF(D93="","-",+C120+1)</f>
        <v>2036</v>
      </c>
      <c r="D121" s="158">
        <f>IF(F120+SUM(E$99:E120)=D$92,F120,D$92-SUM(E$99:E120))</f>
        <v>2762072</v>
      </c>
      <c r="E121" s="164">
        <f t="shared" si="10"/>
        <v>109984</v>
      </c>
      <c r="F121" s="163">
        <f t="shared" si="11"/>
        <v>2652088</v>
      </c>
      <c r="G121" s="163">
        <f t="shared" si="12"/>
        <v>2707080</v>
      </c>
      <c r="H121" s="167">
        <f t="shared" si="13"/>
        <v>453383.92390464508</v>
      </c>
      <c r="I121" s="317">
        <f t="shared" si="14"/>
        <v>453383.92390464508</v>
      </c>
      <c r="J121" s="162">
        <f t="shared" si="15"/>
        <v>0</v>
      </c>
      <c r="K121" s="162"/>
      <c r="L121" s="335"/>
      <c r="M121" s="162">
        <f t="shared" si="16"/>
        <v>0</v>
      </c>
      <c r="N121" s="335"/>
      <c r="O121" s="162">
        <f t="shared" si="17"/>
        <v>0</v>
      </c>
      <c r="P121" s="162">
        <f t="shared" si="18"/>
        <v>0</v>
      </c>
    </row>
    <row r="122" spans="2:16">
      <c r="B122" s="9" t="str">
        <f t="shared" si="9"/>
        <v/>
      </c>
      <c r="C122" s="157">
        <f>IF(D93="","-",+C121+1)</f>
        <v>2037</v>
      </c>
      <c r="D122" s="158">
        <f>IF(F121+SUM(E$99:E121)=D$92,F121,D$92-SUM(E$99:E121))</f>
        <v>2652088</v>
      </c>
      <c r="E122" s="164">
        <f t="shared" si="10"/>
        <v>109984</v>
      </c>
      <c r="F122" s="163">
        <f t="shared" si="11"/>
        <v>2542104</v>
      </c>
      <c r="G122" s="163">
        <f t="shared" si="12"/>
        <v>2597096</v>
      </c>
      <c r="H122" s="167">
        <f t="shared" si="13"/>
        <v>439432.17617989052</v>
      </c>
      <c r="I122" s="317">
        <f t="shared" si="14"/>
        <v>439432.17617989052</v>
      </c>
      <c r="J122" s="162">
        <f t="shared" si="15"/>
        <v>0</v>
      </c>
      <c r="K122" s="162"/>
      <c r="L122" s="335"/>
      <c r="M122" s="162">
        <f t="shared" si="16"/>
        <v>0</v>
      </c>
      <c r="N122" s="335"/>
      <c r="O122" s="162">
        <f t="shared" si="17"/>
        <v>0</v>
      </c>
      <c r="P122" s="162">
        <f t="shared" si="18"/>
        <v>0</v>
      </c>
    </row>
    <row r="123" spans="2:16">
      <c r="B123" s="9" t="str">
        <f t="shared" si="9"/>
        <v/>
      </c>
      <c r="C123" s="157">
        <f>IF(D93="","-",+C122+1)</f>
        <v>2038</v>
      </c>
      <c r="D123" s="158">
        <f>IF(F122+SUM(E$99:E122)=D$92,F122,D$92-SUM(E$99:E122))</f>
        <v>2542104</v>
      </c>
      <c r="E123" s="164">
        <f t="shared" si="10"/>
        <v>109984</v>
      </c>
      <c r="F123" s="163">
        <f t="shared" si="11"/>
        <v>2432120</v>
      </c>
      <c r="G123" s="163">
        <f t="shared" si="12"/>
        <v>2487112</v>
      </c>
      <c r="H123" s="167">
        <f t="shared" si="13"/>
        <v>425480.42845513602</v>
      </c>
      <c r="I123" s="317">
        <f t="shared" si="14"/>
        <v>425480.42845513602</v>
      </c>
      <c r="J123" s="162">
        <f t="shared" si="15"/>
        <v>0</v>
      </c>
      <c r="K123" s="162"/>
      <c r="L123" s="335"/>
      <c r="M123" s="162">
        <f t="shared" si="16"/>
        <v>0</v>
      </c>
      <c r="N123" s="335"/>
      <c r="O123" s="162">
        <f t="shared" si="17"/>
        <v>0</v>
      </c>
      <c r="P123" s="162">
        <f t="shared" si="18"/>
        <v>0</v>
      </c>
    </row>
    <row r="124" spans="2:16">
      <c r="B124" s="9" t="str">
        <f t="shared" si="9"/>
        <v/>
      </c>
      <c r="C124" s="157">
        <f>IF(D93="","-",+C123+1)</f>
        <v>2039</v>
      </c>
      <c r="D124" s="158">
        <f>IF(F123+SUM(E$99:E123)=D$92,F123,D$92-SUM(E$99:E123))</f>
        <v>2432120</v>
      </c>
      <c r="E124" s="164">
        <f t="shared" si="10"/>
        <v>109984</v>
      </c>
      <c r="F124" s="163">
        <f t="shared" si="11"/>
        <v>2322136</v>
      </c>
      <c r="G124" s="163">
        <f t="shared" si="12"/>
        <v>2377128</v>
      </c>
      <c r="H124" s="167">
        <f t="shared" si="13"/>
        <v>411528.68073038146</v>
      </c>
      <c r="I124" s="317">
        <f t="shared" si="14"/>
        <v>411528.68073038146</v>
      </c>
      <c r="J124" s="162">
        <f t="shared" si="15"/>
        <v>0</v>
      </c>
      <c r="K124" s="162"/>
      <c r="L124" s="335"/>
      <c r="M124" s="162">
        <f t="shared" si="16"/>
        <v>0</v>
      </c>
      <c r="N124" s="335"/>
      <c r="O124" s="162">
        <f t="shared" si="17"/>
        <v>0</v>
      </c>
      <c r="P124" s="162">
        <f t="shared" si="18"/>
        <v>0</v>
      </c>
    </row>
    <row r="125" spans="2:16">
      <c r="B125" s="9" t="str">
        <f t="shared" si="9"/>
        <v/>
      </c>
      <c r="C125" s="157">
        <f>IF(D93="","-",+C124+1)</f>
        <v>2040</v>
      </c>
      <c r="D125" s="158">
        <f>IF(F124+SUM(E$99:E124)=D$92,F124,D$92-SUM(E$99:E124))</f>
        <v>2322136</v>
      </c>
      <c r="E125" s="164">
        <f t="shared" si="10"/>
        <v>109984</v>
      </c>
      <c r="F125" s="163">
        <f t="shared" si="11"/>
        <v>2212152</v>
      </c>
      <c r="G125" s="163">
        <f t="shared" si="12"/>
        <v>2267144</v>
      </c>
      <c r="H125" s="167">
        <f t="shared" si="13"/>
        <v>397576.93300562695</v>
      </c>
      <c r="I125" s="317">
        <f t="shared" si="14"/>
        <v>397576.93300562695</v>
      </c>
      <c r="J125" s="162">
        <f t="shared" si="15"/>
        <v>0</v>
      </c>
      <c r="K125" s="162"/>
      <c r="L125" s="335"/>
      <c r="M125" s="162">
        <f t="shared" si="16"/>
        <v>0</v>
      </c>
      <c r="N125" s="335"/>
      <c r="O125" s="162">
        <f t="shared" si="17"/>
        <v>0</v>
      </c>
      <c r="P125" s="162">
        <f t="shared" si="18"/>
        <v>0</v>
      </c>
    </row>
    <row r="126" spans="2:16">
      <c r="B126" s="9" t="str">
        <f t="shared" si="9"/>
        <v/>
      </c>
      <c r="C126" s="157">
        <f>IF(D93="","-",+C125+1)</f>
        <v>2041</v>
      </c>
      <c r="D126" s="158">
        <f>IF(F125+SUM(E$99:E125)=D$92,F125,D$92-SUM(E$99:E125))</f>
        <v>2212152</v>
      </c>
      <c r="E126" s="164">
        <f t="shared" si="10"/>
        <v>109984</v>
      </c>
      <c r="F126" s="163">
        <f t="shared" si="11"/>
        <v>2102168</v>
      </c>
      <c r="G126" s="163">
        <f t="shared" si="12"/>
        <v>2157160</v>
      </c>
      <c r="H126" s="167">
        <f t="shared" si="13"/>
        <v>383625.18528087245</v>
      </c>
      <c r="I126" s="317">
        <f t="shared" si="14"/>
        <v>383625.18528087245</v>
      </c>
      <c r="J126" s="162">
        <f t="shared" si="15"/>
        <v>0</v>
      </c>
      <c r="K126" s="162"/>
      <c r="L126" s="335"/>
      <c r="M126" s="162">
        <f t="shared" si="16"/>
        <v>0</v>
      </c>
      <c r="N126" s="335"/>
      <c r="O126" s="162">
        <f t="shared" si="17"/>
        <v>0</v>
      </c>
      <c r="P126" s="162">
        <f t="shared" si="18"/>
        <v>0</v>
      </c>
    </row>
    <row r="127" spans="2:16">
      <c r="B127" s="9" t="str">
        <f t="shared" si="9"/>
        <v/>
      </c>
      <c r="C127" s="157">
        <f>IF(D93="","-",+C126+1)</f>
        <v>2042</v>
      </c>
      <c r="D127" s="158">
        <f>IF(F126+SUM(E$99:E126)=D$92,F126,D$92-SUM(E$99:E126))</f>
        <v>2102168</v>
      </c>
      <c r="E127" s="164">
        <f t="shared" si="10"/>
        <v>109984</v>
      </c>
      <c r="F127" s="163">
        <f t="shared" si="11"/>
        <v>1992184</v>
      </c>
      <c r="G127" s="163">
        <f t="shared" si="12"/>
        <v>2047176</v>
      </c>
      <c r="H127" s="167">
        <f t="shared" si="13"/>
        <v>369673.43755611789</v>
      </c>
      <c r="I127" s="317">
        <f t="shared" si="14"/>
        <v>369673.43755611789</v>
      </c>
      <c r="J127" s="162">
        <f t="shared" si="15"/>
        <v>0</v>
      </c>
      <c r="K127" s="162"/>
      <c r="L127" s="335"/>
      <c r="M127" s="162">
        <f t="shared" si="16"/>
        <v>0</v>
      </c>
      <c r="N127" s="335"/>
      <c r="O127" s="162">
        <f t="shared" si="17"/>
        <v>0</v>
      </c>
      <c r="P127" s="162">
        <f t="shared" si="18"/>
        <v>0</v>
      </c>
    </row>
    <row r="128" spans="2:16">
      <c r="B128" s="9" t="str">
        <f t="shared" si="9"/>
        <v/>
      </c>
      <c r="C128" s="157">
        <f>IF(D93="","-",+C127+1)</f>
        <v>2043</v>
      </c>
      <c r="D128" s="158">
        <f>IF(F127+SUM(E$99:E127)=D$92,F127,D$92-SUM(E$99:E127))</f>
        <v>1992184</v>
      </c>
      <c r="E128" s="164">
        <f t="shared" si="10"/>
        <v>109984</v>
      </c>
      <c r="F128" s="163">
        <f t="shared" si="11"/>
        <v>1882200</v>
      </c>
      <c r="G128" s="163">
        <f t="shared" si="12"/>
        <v>1937192</v>
      </c>
      <c r="H128" s="167">
        <f t="shared" si="13"/>
        <v>355721.68983136339</v>
      </c>
      <c r="I128" s="317">
        <f t="shared" si="14"/>
        <v>355721.68983136339</v>
      </c>
      <c r="J128" s="162">
        <f t="shared" si="15"/>
        <v>0</v>
      </c>
      <c r="K128" s="162"/>
      <c r="L128" s="335"/>
      <c r="M128" s="162">
        <f t="shared" si="16"/>
        <v>0</v>
      </c>
      <c r="N128" s="335"/>
      <c r="O128" s="162">
        <f t="shared" si="17"/>
        <v>0</v>
      </c>
      <c r="P128" s="162">
        <f t="shared" si="18"/>
        <v>0</v>
      </c>
    </row>
    <row r="129" spans="2:16">
      <c r="B129" s="9" t="str">
        <f t="shared" si="9"/>
        <v/>
      </c>
      <c r="C129" s="157">
        <f>IF(D93="","-",+C128+1)</f>
        <v>2044</v>
      </c>
      <c r="D129" s="158">
        <f>IF(F128+SUM(E$99:E128)=D$92,F128,D$92-SUM(E$99:E128))</f>
        <v>1882200</v>
      </c>
      <c r="E129" s="164">
        <f t="shared" si="10"/>
        <v>109984</v>
      </c>
      <c r="F129" s="163">
        <f t="shared" si="11"/>
        <v>1772216</v>
      </c>
      <c r="G129" s="163">
        <f t="shared" si="12"/>
        <v>1827208</v>
      </c>
      <c r="H129" s="167">
        <f t="shared" si="13"/>
        <v>341769.94210660888</v>
      </c>
      <c r="I129" s="317">
        <f t="shared" si="14"/>
        <v>341769.94210660888</v>
      </c>
      <c r="J129" s="162">
        <f t="shared" si="15"/>
        <v>0</v>
      </c>
      <c r="K129" s="162"/>
      <c r="L129" s="335"/>
      <c r="M129" s="162">
        <f t="shared" si="16"/>
        <v>0</v>
      </c>
      <c r="N129" s="335"/>
      <c r="O129" s="162">
        <f t="shared" si="17"/>
        <v>0</v>
      </c>
      <c r="P129" s="162">
        <f t="shared" si="18"/>
        <v>0</v>
      </c>
    </row>
    <row r="130" spans="2:16">
      <c r="B130" s="9" t="str">
        <f t="shared" si="9"/>
        <v/>
      </c>
      <c r="C130" s="157">
        <f>IF(D93="","-",+C129+1)</f>
        <v>2045</v>
      </c>
      <c r="D130" s="158">
        <f>IF(F129+SUM(E$99:E129)=D$92,F129,D$92-SUM(E$99:E129))</f>
        <v>1772216</v>
      </c>
      <c r="E130" s="164">
        <f t="shared" si="10"/>
        <v>109984</v>
      </c>
      <c r="F130" s="163">
        <f t="shared" si="11"/>
        <v>1662232</v>
      </c>
      <c r="G130" s="163">
        <f t="shared" si="12"/>
        <v>1717224</v>
      </c>
      <c r="H130" s="167">
        <f t="shared" si="13"/>
        <v>327818.19438185432</v>
      </c>
      <c r="I130" s="317">
        <f t="shared" si="14"/>
        <v>327818.19438185432</v>
      </c>
      <c r="J130" s="162">
        <f t="shared" si="15"/>
        <v>0</v>
      </c>
      <c r="K130" s="162"/>
      <c r="L130" s="335"/>
      <c r="M130" s="162">
        <f t="shared" si="16"/>
        <v>0</v>
      </c>
      <c r="N130" s="335"/>
      <c r="O130" s="162">
        <f t="shared" si="17"/>
        <v>0</v>
      </c>
      <c r="P130" s="162">
        <f t="shared" si="18"/>
        <v>0</v>
      </c>
    </row>
    <row r="131" spans="2:16">
      <c r="B131" s="9" t="str">
        <f t="shared" si="9"/>
        <v/>
      </c>
      <c r="C131" s="157">
        <f>IF(D93="","-",+C130+1)</f>
        <v>2046</v>
      </c>
      <c r="D131" s="158">
        <f>IF(F130+SUM(E$99:E130)=D$92,F130,D$92-SUM(E$99:E130))</f>
        <v>1662232</v>
      </c>
      <c r="E131" s="164">
        <f t="shared" si="10"/>
        <v>109984</v>
      </c>
      <c r="F131" s="163">
        <f t="shared" si="11"/>
        <v>1552248</v>
      </c>
      <c r="G131" s="163">
        <f t="shared" si="12"/>
        <v>1607240</v>
      </c>
      <c r="H131" s="167">
        <f t="shared" si="13"/>
        <v>313866.44665709976</v>
      </c>
      <c r="I131" s="317">
        <f t="shared" si="14"/>
        <v>313866.44665709976</v>
      </c>
      <c r="J131" s="162">
        <f t="shared" si="15"/>
        <v>0</v>
      </c>
      <c r="K131" s="162"/>
      <c r="L131" s="335"/>
      <c r="M131" s="162">
        <f t="shared" ref="M131:M154" si="19">IF(L541&lt;&gt;0,+H541-L541,0)</f>
        <v>0</v>
      </c>
      <c r="N131" s="335"/>
      <c r="O131" s="162">
        <f t="shared" ref="O131:O154" si="20">IF(N541&lt;&gt;0,+I541-N541,0)</f>
        <v>0</v>
      </c>
      <c r="P131" s="162">
        <f t="shared" ref="P131:P154" si="21">+O541-M541</f>
        <v>0</v>
      </c>
    </row>
    <row r="132" spans="2:16">
      <c r="B132" s="9" t="str">
        <f t="shared" si="9"/>
        <v/>
      </c>
      <c r="C132" s="157">
        <f>IF(D93="","-",+C131+1)</f>
        <v>2047</v>
      </c>
      <c r="D132" s="158">
        <f>IF(F131+SUM(E$99:E131)=D$92,F131,D$92-SUM(E$99:E131))</f>
        <v>1552248</v>
      </c>
      <c r="E132" s="164">
        <f t="shared" si="10"/>
        <v>109984</v>
      </c>
      <c r="F132" s="163">
        <f t="shared" si="11"/>
        <v>1442264</v>
      </c>
      <c r="G132" s="163">
        <f t="shared" si="12"/>
        <v>1497256</v>
      </c>
      <c r="H132" s="167">
        <f t="shared" si="13"/>
        <v>299914.69893234526</v>
      </c>
      <c r="I132" s="317">
        <f t="shared" si="14"/>
        <v>299914.69893234526</v>
      </c>
      <c r="J132" s="162">
        <f t="shared" si="15"/>
        <v>0</v>
      </c>
      <c r="K132" s="162"/>
      <c r="L132" s="335"/>
      <c r="M132" s="162">
        <f t="shared" si="19"/>
        <v>0</v>
      </c>
      <c r="N132" s="335"/>
      <c r="O132" s="162">
        <f t="shared" si="20"/>
        <v>0</v>
      </c>
      <c r="P132" s="162">
        <f t="shared" si="21"/>
        <v>0</v>
      </c>
    </row>
    <row r="133" spans="2:16">
      <c r="B133" s="9" t="str">
        <f t="shared" si="9"/>
        <v/>
      </c>
      <c r="C133" s="157">
        <f>IF(D93="","-",+C132+1)</f>
        <v>2048</v>
      </c>
      <c r="D133" s="158">
        <f>IF(F132+SUM(E$99:E132)=D$92,F132,D$92-SUM(E$99:E132))</f>
        <v>1442264</v>
      </c>
      <c r="E133" s="164">
        <f t="shared" si="10"/>
        <v>109984</v>
      </c>
      <c r="F133" s="163">
        <f t="shared" si="11"/>
        <v>1332280</v>
      </c>
      <c r="G133" s="163">
        <f t="shared" si="12"/>
        <v>1387272</v>
      </c>
      <c r="H133" s="167">
        <f t="shared" si="13"/>
        <v>285962.95120759076</v>
      </c>
      <c r="I133" s="317">
        <f t="shared" si="14"/>
        <v>285962.95120759076</v>
      </c>
      <c r="J133" s="162">
        <f t="shared" si="15"/>
        <v>0</v>
      </c>
      <c r="K133" s="162"/>
      <c r="L133" s="335"/>
      <c r="M133" s="162">
        <f t="shared" si="19"/>
        <v>0</v>
      </c>
      <c r="N133" s="335"/>
      <c r="O133" s="162">
        <f t="shared" si="20"/>
        <v>0</v>
      </c>
      <c r="P133" s="162">
        <f t="shared" si="21"/>
        <v>0</v>
      </c>
    </row>
    <row r="134" spans="2:16">
      <c r="B134" s="9" t="str">
        <f t="shared" si="9"/>
        <v/>
      </c>
      <c r="C134" s="157">
        <f>IF(D93="","-",+C133+1)</f>
        <v>2049</v>
      </c>
      <c r="D134" s="158">
        <f>IF(F133+SUM(E$99:E133)=D$92,F133,D$92-SUM(E$99:E133))</f>
        <v>1332280</v>
      </c>
      <c r="E134" s="164">
        <f t="shared" si="10"/>
        <v>109984</v>
      </c>
      <c r="F134" s="163">
        <f t="shared" si="11"/>
        <v>1222296</v>
      </c>
      <c r="G134" s="163">
        <f t="shared" si="12"/>
        <v>1277288</v>
      </c>
      <c r="H134" s="167">
        <f t="shared" si="13"/>
        <v>272011.20348283625</v>
      </c>
      <c r="I134" s="317">
        <f t="shared" si="14"/>
        <v>272011.20348283625</v>
      </c>
      <c r="J134" s="162">
        <f t="shared" si="15"/>
        <v>0</v>
      </c>
      <c r="K134" s="162"/>
      <c r="L134" s="335"/>
      <c r="M134" s="162">
        <f t="shared" si="19"/>
        <v>0</v>
      </c>
      <c r="N134" s="335"/>
      <c r="O134" s="162">
        <f t="shared" si="20"/>
        <v>0</v>
      </c>
      <c r="P134" s="162">
        <f t="shared" si="21"/>
        <v>0</v>
      </c>
    </row>
    <row r="135" spans="2:16">
      <c r="B135" s="9" t="str">
        <f t="shared" si="9"/>
        <v/>
      </c>
      <c r="C135" s="157">
        <f>IF(D93="","-",+C134+1)</f>
        <v>2050</v>
      </c>
      <c r="D135" s="158">
        <f>IF(F134+SUM(E$99:E134)=D$92,F134,D$92-SUM(E$99:E134))</f>
        <v>1222296</v>
      </c>
      <c r="E135" s="164">
        <f t="shared" si="10"/>
        <v>109984</v>
      </c>
      <c r="F135" s="163">
        <f t="shared" si="11"/>
        <v>1112312</v>
      </c>
      <c r="G135" s="163">
        <f t="shared" si="12"/>
        <v>1167304</v>
      </c>
      <c r="H135" s="167">
        <f t="shared" si="13"/>
        <v>258059.45575808169</v>
      </c>
      <c r="I135" s="317">
        <f t="shared" si="14"/>
        <v>258059.45575808169</v>
      </c>
      <c r="J135" s="162">
        <f t="shared" si="15"/>
        <v>0</v>
      </c>
      <c r="K135" s="162"/>
      <c r="L135" s="335"/>
      <c r="M135" s="162">
        <f t="shared" si="19"/>
        <v>0</v>
      </c>
      <c r="N135" s="335"/>
      <c r="O135" s="162">
        <f t="shared" si="20"/>
        <v>0</v>
      </c>
      <c r="P135" s="162">
        <f t="shared" si="21"/>
        <v>0</v>
      </c>
    </row>
    <row r="136" spans="2:16">
      <c r="B136" s="9" t="str">
        <f t="shared" si="9"/>
        <v/>
      </c>
      <c r="C136" s="157">
        <f>IF(D93="","-",+C135+1)</f>
        <v>2051</v>
      </c>
      <c r="D136" s="158">
        <f>IF(F135+SUM(E$99:E135)=D$92,F135,D$92-SUM(E$99:E135))</f>
        <v>1112312</v>
      </c>
      <c r="E136" s="164">
        <f t="shared" si="10"/>
        <v>109984</v>
      </c>
      <c r="F136" s="163">
        <f t="shared" si="11"/>
        <v>1002328</v>
      </c>
      <c r="G136" s="163">
        <f t="shared" si="12"/>
        <v>1057320</v>
      </c>
      <c r="H136" s="167">
        <f t="shared" si="13"/>
        <v>244107.70803332716</v>
      </c>
      <c r="I136" s="317">
        <f t="shared" si="14"/>
        <v>244107.70803332716</v>
      </c>
      <c r="J136" s="162">
        <f t="shared" si="15"/>
        <v>0</v>
      </c>
      <c r="K136" s="162"/>
      <c r="L136" s="335"/>
      <c r="M136" s="162">
        <f t="shared" si="19"/>
        <v>0</v>
      </c>
      <c r="N136" s="335"/>
      <c r="O136" s="162">
        <f t="shared" si="20"/>
        <v>0</v>
      </c>
      <c r="P136" s="162">
        <f t="shared" si="21"/>
        <v>0</v>
      </c>
    </row>
    <row r="137" spans="2:16">
      <c r="B137" s="9" t="str">
        <f t="shared" si="9"/>
        <v/>
      </c>
      <c r="C137" s="157">
        <f>IF(D93="","-",+C136+1)</f>
        <v>2052</v>
      </c>
      <c r="D137" s="158">
        <f>IF(F136+SUM(E$99:E136)=D$92,F136,D$92-SUM(E$99:E136))</f>
        <v>1002328</v>
      </c>
      <c r="E137" s="164">
        <f t="shared" si="10"/>
        <v>109984</v>
      </c>
      <c r="F137" s="163">
        <f t="shared" si="11"/>
        <v>892344</v>
      </c>
      <c r="G137" s="163">
        <f t="shared" si="12"/>
        <v>947336</v>
      </c>
      <c r="H137" s="167">
        <f t="shared" si="13"/>
        <v>230155.96030857263</v>
      </c>
      <c r="I137" s="317">
        <f t="shared" si="14"/>
        <v>230155.96030857263</v>
      </c>
      <c r="J137" s="162">
        <f t="shared" si="15"/>
        <v>0</v>
      </c>
      <c r="K137" s="162"/>
      <c r="L137" s="335"/>
      <c r="M137" s="162">
        <f t="shared" si="19"/>
        <v>0</v>
      </c>
      <c r="N137" s="335"/>
      <c r="O137" s="162">
        <f t="shared" si="20"/>
        <v>0</v>
      </c>
      <c r="P137" s="162">
        <f t="shared" si="21"/>
        <v>0</v>
      </c>
    </row>
    <row r="138" spans="2:16">
      <c r="B138" s="9" t="str">
        <f t="shared" si="9"/>
        <v/>
      </c>
      <c r="C138" s="157">
        <f>IF(D93="","-",+C137+1)</f>
        <v>2053</v>
      </c>
      <c r="D138" s="158">
        <f>IF(F137+SUM(E$99:E137)=D$92,F137,D$92-SUM(E$99:E137))</f>
        <v>892344</v>
      </c>
      <c r="E138" s="164">
        <f t="shared" si="10"/>
        <v>109984</v>
      </c>
      <c r="F138" s="163">
        <f t="shared" si="11"/>
        <v>782360</v>
      </c>
      <c r="G138" s="163">
        <f t="shared" si="12"/>
        <v>837352</v>
      </c>
      <c r="H138" s="167">
        <f t="shared" si="13"/>
        <v>216204.21258381812</v>
      </c>
      <c r="I138" s="317">
        <f t="shared" si="14"/>
        <v>216204.21258381812</v>
      </c>
      <c r="J138" s="162">
        <f t="shared" si="15"/>
        <v>0</v>
      </c>
      <c r="K138" s="162"/>
      <c r="L138" s="335"/>
      <c r="M138" s="162">
        <f t="shared" si="19"/>
        <v>0</v>
      </c>
      <c r="N138" s="335"/>
      <c r="O138" s="162">
        <f t="shared" si="20"/>
        <v>0</v>
      </c>
      <c r="P138" s="162">
        <f t="shared" si="21"/>
        <v>0</v>
      </c>
    </row>
    <row r="139" spans="2:16">
      <c r="B139" s="9" t="str">
        <f t="shared" si="9"/>
        <v/>
      </c>
      <c r="C139" s="157">
        <f>IF(D93="","-",+C138+1)</f>
        <v>2054</v>
      </c>
      <c r="D139" s="158">
        <f>IF(F138+SUM(E$99:E138)=D$92,F138,D$92-SUM(E$99:E138))</f>
        <v>782360</v>
      </c>
      <c r="E139" s="164">
        <f t="shared" si="10"/>
        <v>109984</v>
      </c>
      <c r="F139" s="163">
        <f t="shared" si="11"/>
        <v>672376</v>
      </c>
      <c r="G139" s="163">
        <f t="shared" si="12"/>
        <v>727368</v>
      </c>
      <c r="H139" s="167">
        <f t="shared" si="13"/>
        <v>202252.46485906359</v>
      </c>
      <c r="I139" s="317">
        <f t="shared" si="14"/>
        <v>202252.46485906359</v>
      </c>
      <c r="J139" s="162">
        <f t="shared" si="15"/>
        <v>0</v>
      </c>
      <c r="K139" s="162"/>
      <c r="L139" s="335"/>
      <c r="M139" s="162">
        <f t="shared" si="19"/>
        <v>0</v>
      </c>
      <c r="N139" s="335"/>
      <c r="O139" s="162">
        <f t="shared" si="20"/>
        <v>0</v>
      </c>
      <c r="P139" s="162">
        <f t="shared" si="21"/>
        <v>0</v>
      </c>
    </row>
    <row r="140" spans="2:16">
      <c r="B140" s="9" t="str">
        <f t="shared" si="9"/>
        <v/>
      </c>
      <c r="C140" s="157">
        <f>IF(D93="","-",+C139+1)</f>
        <v>2055</v>
      </c>
      <c r="D140" s="158">
        <f>IF(F139+SUM(E$99:E139)=D$92,F139,D$92-SUM(E$99:E139))</f>
        <v>672376</v>
      </c>
      <c r="E140" s="164">
        <f t="shared" si="10"/>
        <v>109984</v>
      </c>
      <c r="F140" s="163">
        <f t="shared" si="11"/>
        <v>562392</v>
      </c>
      <c r="G140" s="163">
        <f t="shared" si="12"/>
        <v>617384</v>
      </c>
      <c r="H140" s="167">
        <f t="shared" si="13"/>
        <v>188300.71713430906</v>
      </c>
      <c r="I140" s="317">
        <f t="shared" si="14"/>
        <v>188300.71713430906</v>
      </c>
      <c r="J140" s="162">
        <f t="shared" si="15"/>
        <v>0</v>
      </c>
      <c r="K140" s="162"/>
      <c r="L140" s="335"/>
      <c r="M140" s="162">
        <f t="shared" si="19"/>
        <v>0</v>
      </c>
      <c r="N140" s="335"/>
      <c r="O140" s="162">
        <f t="shared" si="20"/>
        <v>0</v>
      </c>
      <c r="P140" s="162">
        <f t="shared" si="21"/>
        <v>0</v>
      </c>
    </row>
    <row r="141" spans="2:16">
      <c r="B141" s="9" t="str">
        <f t="shared" si="9"/>
        <v/>
      </c>
      <c r="C141" s="157">
        <f>IF(D93="","-",+C140+1)</f>
        <v>2056</v>
      </c>
      <c r="D141" s="158">
        <f>IF(F140+SUM(E$99:E140)=D$92,F140,D$92-SUM(E$99:E140))</f>
        <v>562392</v>
      </c>
      <c r="E141" s="164">
        <f t="shared" si="10"/>
        <v>109984</v>
      </c>
      <c r="F141" s="163">
        <f t="shared" si="11"/>
        <v>452408</v>
      </c>
      <c r="G141" s="163">
        <f t="shared" si="12"/>
        <v>507400</v>
      </c>
      <c r="H141" s="167">
        <f t="shared" si="13"/>
        <v>174348.96940955456</v>
      </c>
      <c r="I141" s="317">
        <f t="shared" si="14"/>
        <v>174348.96940955456</v>
      </c>
      <c r="J141" s="162">
        <f t="shared" si="15"/>
        <v>0</v>
      </c>
      <c r="K141" s="162"/>
      <c r="L141" s="335"/>
      <c r="M141" s="162">
        <f t="shared" si="19"/>
        <v>0</v>
      </c>
      <c r="N141" s="335"/>
      <c r="O141" s="162">
        <f t="shared" si="20"/>
        <v>0</v>
      </c>
      <c r="P141" s="162">
        <f t="shared" si="21"/>
        <v>0</v>
      </c>
    </row>
    <row r="142" spans="2:16">
      <c r="B142" s="9" t="str">
        <f t="shared" si="9"/>
        <v/>
      </c>
      <c r="C142" s="157">
        <f>IF(D93="","-",+C141+1)</f>
        <v>2057</v>
      </c>
      <c r="D142" s="158">
        <f>IF(F141+SUM(E$99:E141)=D$92,F141,D$92-SUM(E$99:E141))</f>
        <v>452408</v>
      </c>
      <c r="E142" s="164">
        <f t="shared" si="10"/>
        <v>109984</v>
      </c>
      <c r="F142" s="163">
        <f t="shared" si="11"/>
        <v>342424</v>
      </c>
      <c r="G142" s="163">
        <f t="shared" si="12"/>
        <v>397416</v>
      </c>
      <c r="H142" s="167">
        <f t="shared" si="13"/>
        <v>160397.22168480002</v>
      </c>
      <c r="I142" s="317">
        <f t="shared" si="14"/>
        <v>160397.22168480002</v>
      </c>
      <c r="J142" s="162">
        <f t="shared" si="15"/>
        <v>0</v>
      </c>
      <c r="K142" s="162"/>
      <c r="L142" s="335"/>
      <c r="M142" s="162">
        <f t="shared" si="19"/>
        <v>0</v>
      </c>
      <c r="N142" s="335"/>
      <c r="O142" s="162">
        <f t="shared" si="20"/>
        <v>0</v>
      </c>
      <c r="P142" s="162">
        <f t="shared" si="21"/>
        <v>0</v>
      </c>
    </row>
    <row r="143" spans="2:16">
      <c r="B143" s="9" t="str">
        <f t="shared" si="9"/>
        <v/>
      </c>
      <c r="C143" s="157">
        <f>IF(D93="","-",+C142+1)</f>
        <v>2058</v>
      </c>
      <c r="D143" s="158">
        <f>IF(F142+SUM(E$99:E142)=D$92,F142,D$92-SUM(E$99:E142))</f>
        <v>342424</v>
      </c>
      <c r="E143" s="164">
        <f t="shared" si="10"/>
        <v>109984</v>
      </c>
      <c r="F143" s="163">
        <f t="shared" si="11"/>
        <v>232440</v>
      </c>
      <c r="G143" s="163">
        <f t="shared" si="12"/>
        <v>287432</v>
      </c>
      <c r="H143" s="167">
        <f t="shared" si="13"/>
        <v>146445.47396004549</v>
      </c>
      <c r="I143" s="317">
        <f t="shared" si="14"/>
        <v>146445.47396004549</v>
      </c>
      <c r="J143" s="162">
        <f t="shared" si="15"/>
        <v>0</v>
      </c>
      <c r="K143" s="162"/>
      <c r="L143" s="335"/>
      <c r="M143" s="162">
        <f t="shared" si="19"/>
        <v>0</v>
      </c>
      <c r="N143" s="335"/>
      <c r="O143" s="162">
        <f t="shared" si="20"/>
        <v>0</v>
      </c>
      <c r="P143" s="162">
        <f t="shared" si="21"/>
        <v>0</v>
      </c>
    </row>
    <row r="144" spans="2:16">
      <c r="B144" s="9" t="str">
        <f t="shared" si="9"/>
        <v/>
      </c>
      <c r="C144" s="157">
        <f>IF(D93="","-",+C143+1)</f>
        <v>2059</v>
      </c>
      <c r="D144" s="158">
        <f>IF(F143+SUM(E$99:E143)=D$92,F143,D$92-SUM(E$99:E143))</f>
        <v>232440</v>
      </c>
      <c r="E144" s="164">
        <f t="shared" si="10"/>
        <v>109984</v>
      </c>
      <c r="F144" s="163">
        <f t="shared" si="11"/>
        <v>122456</v>
      </c>
      <c r="G144" s="163">
        <f t="shared" si="12"/>
        <v>177448</v>
      </c>
      <c r="H144" s="167">
        <f t="shared" si="13"/>
        <v>132493.72623529096</v>
      </c>
      <c r="I144" s="317">
        <f t="shared" si="14"/>
        <v>132493.72623529096</v>
      </c>
      <c r="J144" s="162">
        <f t="shared" si="15"/>
        <v>0</v>
      </c>
      <c r="K144" s="162"/>
      <c r="L144" s="335"/>
      <c r="M144" s="162">
        <f t="shared" si="19"/>
        <v>0</v>
      </c>
      <c r="N144" s="335"/>
      <c r="O144" s="162">
        <f t="shared" si="20"/>
        <v>0</v>
      </c>
      <c r="P144" s="162">
        <f t="shared" si="21"/>
        <v>0</v>
      </c>
    </row>
    <row r="145" spans="2:16">
      <c r="B145" s="9" t="str">
        <f t="shared" si="9"/>
        <v/>
      </c>
      <c r="C145" s="157">
        <f>IF(D93="","-",+C144+1)</f>
        <v>2060</v>
      </c>
      <c r="D145" s="158">
        <f>IF(F144+SUM(E$99:E144)=D$92,F144,D$92-SUM(E$99:E144))</f>
        <v>122456</v>
      </c>
      <c r="E145" s="164">
        <f t="shared" si="10"/>
        <v>109984</v>
      </c>
      <c r="F145" s="163">
        <f t="shared" si="11"/>
        <v>12472</v>
      </c>
      <c r="G145" s="163">
        <f t="shared" si="12"/>
        <v>67464</v>
      </c>
      <c r="H145" s="167">
        <f t="shared" si="13"/>
        <v>118541.97851053643</v>
      </c>
      <c r="I145" s="317">
        <f t="shared" si="14"/>
        <v>118541.97851053643</v>
      </c>
      <c r="J145" s="162">
        <f t="shared" si="15"/>
        <v>0</v>
      </c>
      <c r="K145" s="162"/>
      <c r="L145" s="335"/>
      <c r="M145" s="162">
        <f t="shared" si="19"/>
        <v>0</v>
      </c>
      <c r="N145" s="335"/>
      <c r="O145" s="162">
        <f t="shared" si="20"/>
        <v>0</v>
      </c>
      <c r="P145" s="162">
        <f t="shared" si="21"/>
        <v>0</v>
      </c>
    </row>
    <row r="146" spans="2:16">
      <c r="B146" s="9" t="str">
        <f t="shared" si="9"/>
        <v/>
      </c>
      <c r="C146" s="157">
        <f>IF(D93="","-",+C145+1)</f>
        <v>2061</v>
      </c>
      <c r="D146" s="158">
        <f>IF(F145+SUM(E$99:E145)=D$92,F145,D$92-SUM(E$99:E145))</f>
        <v>12472</v>
      </c>
      <c r="E146" s="164">
        <f t="shared" si="10"/>
        <v>12472</v>
      </c>
      <c r="F146" s="163">
        <f t="shared" si="11"/>
        <v>0</v>
      </c>
      <c r="G146" s="163">
        <f t="shared" si="12"/>
        <v>6236</v>
      </c>
      <c r="H146" s="167">
        <f t="shared" si="13"/>
        <v>13263.052324079586</v>
      </c>
      <c r="I146" s="317">
        <f t="shared" si="14"/>
        <v>13263.052324079586</v>
      </c>
      <c r="J146" s="162">
        <f t="shared" si="15"/>
        <v>0</v>
      </c>
      <c r="K146" s="162"/>
      <c r="L146" s="335"/>
      <c r="M146" s="162">
        <f t="shared" si="19"/>
        <v>0</v>
      </c>
      <c r="N146" s="335"/>
      <c r="O146" s="162">
        <f t="shared" si="20"/>
        <v>0</v>
      </c>
      <c r="P146" s="162">
        <f t="shared" si="21"/>
        <v>0</v>
      </c>
    </row>
    <row r="147" spans="2:16">
      <c r="B147" s="9" t="str">
        <f t="shared" si="9"/>
        <v/>
      </c>
      <c r="C147" s="157">
        <f>IF(D93="","-",+C146+1)</f>
        <v>2062</v>
      </c>
      <c r="D147" s="158">
        <f>IF(F146+SUM(E$99:E146)=D$92,F146,D$92-SUM(E$99:E146))</f>
        <v>0</v>
      </c>
      <c r="E147" s="164">
        <f t="shared" si="10"/>
        <v>0</v>
      </c>
      <c r="F147" s="163">
        <f t="shared" si="11"/>
        <v>0</v>
      </c>
      <c r="G147" s="163">
        <f t="shared" si="12"/>
        <v>0</v>
      </c>
      <c r="H147" s="167">
        <f t="shared" si="13"/>
        <v>0</v>
      </c>
      <c r="I147" s="317">
        <f t="shared" si="14"/>
        <v>0</v>
      </c>
      <c r="J147" s="162">
        <f t="shared" si="15"/>
        <v>0</v>
      </c>
      <c r="K147" s="162"/>
      <c r="L147" s="335"/>
      <c r="M147" s="162">
        <f t="shared" si="19"/>
        <v>0</v>
      </c>
      <c r="N147" s="335"/>
      <c r="O147" s="162">
        <f t="shared" si="20"/>
        <v>0</v>
      </c>
      <c r="P147" s="162">
        <f t="shared" si="21"/>
        <v>0</v>
      </c>
    </row>
    <row r="148" spans="2:16">
      <c r="B148" s="9" t="str">
        <f t="shared" si="9"/>
        <v/>
      </c>
      <c r="C148" s="157">
        <f>IF(D93="","-",+C147+1)</f>
        <v>2063</v>
      </c>
      <c r="D148" s="158">
        <f>IF(F147+SUM(E$99:E147)=D$92,F147,D$92-SUM(E$99:E147))</f>
        <v>0</v>
      </c>
      <c r="E148" s="164">
        <f t="shared" si="10"/>
        <v>0</v>
      </c>
      <c r="F148" s="163">
        <f t="shared" si="11"/>
        <v>0</v>
      </c>
      <c r="G148" s="163">
        <f t="shared" si="12"/>
        <v>0</v>
      </c>
      <c r="H148" s="167">
        <f t="shared" si="13"/>
        <v>0</v>
      </c>
      <c r="I148" s="317">
        <f t="shared" si="14"/>
        <v>0</v>
      </c>
      <c r="J148" s="162">
        <f t="shared" si="15"/>
        <v>0</v>
      </c>
      <c r="K148" s="162"/>
      <c r="L148" s="335"/>
      <c r="M148" s="162">
        <f t="shared" si="19"/>
        <v>0</v>
      </c>
      <c r="N148" s="335"/>
      <c r="O148" s="162">
        <f t="shared" si="20"/>
        <v>0</v>
      </c>
      <c r="P148" s="162">
        <f t="shared" si="21"/>
        <v>0</v>
      </c>
    </row>
    <row r="149" spans="2:16">
      <c r="B149" s="9" t="str">
        <f t="shared" si="9"/>
        <v/>
      </c>
      <c r="C149" s="157">
        <f>IF(D93="","-",+C148+1)</f>
        <v>2064</v>
      </c>
      <c r="D149" s="158">
        <f>IF(F148+SUM(E$99:E148)=D$92,F148,D$92-SUM(E$99:E148))</f>
        <v>0</v>
      </c>
      <c r="E149" s="164">
        <f t="shared" si="10"/>
        <v>0</v>
      </c>
      <c r="F149" s="163">
        <f t="shared" si="11"/>
        <v>0</v>
      </c>
      <c r="G149" s="163">
        <f t="shared" si="12"/>
        <v>0</v>
      </c>
      <c r="H149" s="167">
        <f t="shared" si="13"/>
        <v>0</v>
      </c>
      <c r="I149" s="317">
        <f t="shared" si="14"/>
        <v>0</v>
      </c>
      <c r="J149" s="162">
        <f t="shared" si="15"/>
        <v>0</v>
      </c>
      <c r="K149" s="162"/>
      <c r="L149" s="335"/>
      <c r="M149" s="162">
        <f t="shared" si="19"/>
        <v>0</v>
      </c>
      <c r="N149" s="335"/>
      <c r="O149" s="162">
        <f t="shared" si="20"/>
        <v>0</v>
      </c>
      <c r="P149" s="162">
        <f t="shared" si="21"/>
        <v>0</v>
      </c>
    </row>
    <row r="150" spans="2:16">
      <c r="B150" s="9" t="str">
        <f t="shared" si="9"/>
        <v/>
      </c>
      <c r="C150" s="157">
        <f>IF(D93="","-",+C149+1)</f>
        <v>2065</v>
      </c>
      <c r="D150" s="158">
        <f>IF(F149+SUM(E$99:E149)=D$92,F149,D$92-SUM(E$99:E149))</f>
        <v>0</v>
      </c>
      <c r="E150" s="164">
        <f t="shared" si="10"/>
        <v>0</v>
      </c>
      <c r="F150" s="163">
        <f t="shared" si="11"/>
        <v>0</v>
      </c>
      <c r="G150" s="163">
        <f t="shared" si="12"/>
        <v>0</v>
      </c>
      <c r="H150" s="167">
        <f t="shared" si="13"/>
        <v>0</v>
      </c>
      <c r="I150" s="317">
        <f t="shared" si="14"/>
        <v>0</v>
      </c>
      <c r="J150" s="162">
        <f t="shared" si="15"/>
        <v>0</v>
      </c>
      <c r="K150" s="162"/>
      <c r="L150" s="335"/>
      <c r="M150" s="162">
        <f t="shared" si="19"/>
        <v>0</v>
      </c>
      <c r="N150" s="335"/>
      <c r="O150" s="162">
        <f t="shared" si="20"/>
        <v>0</v>
      </c>
      <c r="P150" s="162">
        <f t="shared" si="21"/>
        <v>0</v>
      </c>
    </row>
    <row r="151" spans="2:16">
      <c r="B151" s="9" t="str">
        <f t="shared" si="9"/>
        <v/>
      </c>
      <c r="C151" s="157">
        <f>IF(D93="","-",+C150+1)</f>
        <v>2066</v>
      </c>
      <c r="D151" s="158">
        <f>IF(F150+SUM(E$99:E150)=D$92,F150,D$92-SUM(E$99:E150))</f>
        <v>0</v>
      </c>
      <c r="E151" s="164">
        <f t="shared" si="10"/>
        <v>0</v>
      </c>
      <c r="F151" s="163">
        <f t="shared" si="11"/>
        <v>0</v>
      </c>
      <c r="G151" s="163">
        <f t="shared" si="12"/>
        <v>0</v>
      </c>
      <c r="H151" s="167">
        <f t="shared" si="13"/>
        <v>0</v>
      </c>
      <c r="I151" s="317">
        <f t="shared" si="14"/>
        <v>0</v>
      </c>
      <c r="J151" s="162">
        <f t="shared" si="15"/>
        <v>0</v>
      </c>
      <c r="K151" s="162"/>
      <c r="L151" s="335"/>
      <c r="M151" s="162">
        <f t="shared" si="19"/>
        <v>0</v>
      </c>
      <c r="N151" s="335"/>
      <c r="O151" s="162">
        <f t="shared" si="20"/>
        <v>0</v>
      </c>
      <c r="P151" s="162">
        <f t="shared" si="21"/>
        <v>0</v>
      </c>
    </row>
    <row r="152" spans="2:16">
      <c r="B152" s="9" t="str">
        <f t="shared" si="9"/>
        <v/>
      </c>
      <c r="C152" s="157">
        <f>IF(D93="","-",+C151+1)</f>
        <v>2067</v>
      </c>
      <c r="D152" s="158">
        <f>IF(F151+SUM(E$99:E151)=D$92,F151,D$92-SUM(E$99:E151))</f>
        <v>0</v>
      </c>
      <c r="E152" s="164">
        <f t="shared" si="10"/>
        <v>0</v>
      </c>
      <c r="F152" s="163">
        <f t="shared" si="11"/>
        <v>0</v>
      </c>
      <c r="G152" s="163">
        <f t="shared" si="12"/>
        <v>0</v>
      </c>
      <c r="H152" s="167">
        <f t="shared" si="13"/>
        <v>0</v>
      </c>
      <c r="I152" s="317">
        <f t="shared" si="14"/>
        <v>0</v>
      </c>
      <c r="J152" s="162">
        <f t="shared" si="15"/>
        <v>0</v>
      </c>
      <c r="K152" s="162"/>
      <c r="L152" s="335"/>
      <c r="M152" s="162">
        <f t="shared" si="19"/>
        <v>0</v>
      </c>
      <c r="N152" s="335"/>
      <c r="O152" s="162">
        <f t="shared" si="20"/>
        <v>0</v>
      </c>
      <c r="P152" s="162">
        <f t="shared" si="21"/>
        <v>0</v>
      </c>
    </row>
    <row r="153" spans="2:16">
      <c r="B153" s="9" t="str">
        <f t="shared" si="9"/>
        <v/>
      </c>
      <c r="C153" s="157">
        <f>IF(D93="","-",+C152+1)</f>
        <v>2068</v>
      </c>
      <c r="D153" s="158">
        <f>IF(F152+SUM(E$99:E152)=D$92,F152,D$92-SUM(E$99:E152))</f>
        <v>0</v>
      </c>
      <c r="E153" s="164">
        <f t="shared" si="10"/>
        <v>0</v>
      </c>
      <c r="F153" s="163">
        <f t="shared" si="11"/>
        <v>0</v>
      </c>
      <c r="G153" s="163">
        <f t="shared" si="12"/>
        <v>0</v>
      </c>
      <c r="H153" s="167">
        <f t="shared" si="13"/>
        <v>0</v>
      </c>
      <c r="I153" s="317">
        <f t="shared" si="14"/>
        <v>0</v>
      </c>
      <c r="J153" s="162">
        <f t="shared" si="15"/>
        <v>0</v>
      </c>
      <c r="K153" s="162"/>
      <c r="L153" s="335"/>
      <c r="M153" s="162">
        <f t="shared" si="19"/>
        <v>0</v>
      </c>
      <c r="N153" s="335"/>
      <c r="O153" s="162">
        <f t="shared" si="20"/>
        <v>0</v>
      </c>
      <c r="P153" s="162">
        <f t="shared" si="21"/>
        <v>0</v>
      </c>
    </row>
    <row r="154" spans="2:16" ht="13.5" thickBot="1">
      <c r="B154" s="9" t="str">
        <f t="shared" si="9"/>
        <v/>
      </c>
      <c r="C154" s="168">
        <f>IF(D93="","-",+C153+1)</f>
        <v>2069</v>
      </c>
      <c r="D154" s="158">
        <f>IF(F153+SUM(E$99:E153)=D$92,F153,D$92-SUM(E$99:E153))</f>
        <v>0</v>
      </c>
      <c r="E154" s="164">
        <f t="shared" si="10"/>
        <v>0</v>
      </c>
      <c r="F154" s="163">
        <f t="shared" si="11"/>
        <v>0</v>
      </c>
      <c r="G154" s="163">
        <f t="shared" si="12"/>
        <v>0</v>
      </c>
      <c r="H154" s="167">
        <f t="shared" si="13"/>
        <v>0</v>
      </c>
      <c r="I154" s="317">
        <f t="shared" si="14"/>
        <v>0</v>
      </c>
      <c r="J154" s="162">
        <f t="shared" si="15"/>
        <v>0</v>
      </c>
      <c r="K154" s="162"/>
      <c r="L154" s="336"/>
      <c r="M154" s="173">
        <f t="shared" si="19"/>
        <v>0</v>
      </c>
      <c r="N154" s="336"/>
      <c r="O154" s="173">
        <f t="shared" si="20"/>
        <v>0</v>
      </c>
      <c r="P154" s="173">
        <f t="shared" si="21"/>
        <v>0</v>
      </c>
    </row>
    <row r="155" spans="2:16">
      <c r="C155" s="158" t="s">
        <v>72</v>
      </c>
      <c r="D155" s="115"/>
      <c r="E155" s="115">
        <f>SUM(E99:E154)</f>
        <v>5059278</v>
      </c>
      <c r="F155" s="115"/>
      <c r="G155" s="115"/>
      <c r="H155" s="115">
        <f>SUM(H99:H154)</f>
        <v>20303814.327678986</v>
      </c>
      <c r="I155" s="115">
        <f>SUM(I99:I154)</f>
        <v>20303814.327678986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5" priority="1" stopIfTrue="1" operator="equal">
      <formula>$I$10</formula>
    </cfRule>
  </conditionalFormatting>
  <conditionalFormatting sqref="C99:C154">
    <cfRule type="cellIs" dxfId="24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A1:S137"/>
  <sheetViews>
    <sheetView view="pageBreakPreview" zoomScale="90" zoomScaleNormal="100" zoomScaleSheetLayoutView="9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16.140625" customWidth="1"/>
    <col min="10" max="10" width="2.1406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3.5703125" bestFit="1" customWidth="1"/>
    <col min="17" max="17" width="4.7109375" customWidth="1"/>
    <col min="18" max="18" width="15.42578125" customWidth="1"/>
    <col min="19" max="19" width="81.85546875" bestFit="1" customWidth="1"/>
    <col min="23" max="23" width="9.140625" customWidth="1"/>
  </cols>
  <sheetData>
    <row r="1" spans="1:18" ht="18">
      <c r="A1" s="504" t="s">
        <v>118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8" ht="18">
      <c r="A2" s="506" t="str">
        <f>L19&amp;" Cost of Service Formula Rate Projected on "&amp;L19-1&amp;" FF1 Balances"</f>
        <v>2019 Cost of Service Formula Rate Projected on 2018 FF1 Balances</v>
      </c>
      <c r="B2" s="506"/>
      <c r="C2" s="506"/>
      <c r="D2" s="506"/>
      <c r="E2" s="506"/>
      <c r="F2" s="506"/>
      <c r="G2" s="506"/>
      <c r="H2" s="506"/>
      <c r="I2" s="506"/>
      <c r="J2" s="506"/>
    </row>
    <row r="3" spans="1:18" ht="18">
      <c r="A3" s="507" t="s">
        <v>135</v>
      </c>
      <c r="B3" s="506"/>
      <c r="C3" s="506"/>
      <c r="D3" s="506"/>
      <c r="E3" s="506"/>
      <c r="F3" s="506"/>
      <c r="G3" s="506"/>
      <c r="H3" s="506"/>
      <c r="I3" s="506"/>
      <c r="J3" s="506"/>
      <c r="Q3" s="240" t="s">
        <v>120</v>
      </c>
    </row>
    <row r="4" spans="1:18" ht="18">
      <c r="A4" s="506" t="str">
        <f>"Based on a Carrying Charge Derived from ""Historic"" "&amp;L19-1&amp;" Data"</f>
        <v>Based on a Carrying Charge Derived from "Historic" 2018 Data</v>
      </c>
      <c r="B4" s="506"/>
      <c r="C4" s="506"/>
      <c r="D4" s="506"/>
      <c r="E4" s="506"/>
      <c r="F4" s="506"/>
      <c r="G4" s="506"/>
      <c r="H4" s="506"/>
      <c r="I4" s="506"/>
      <c r="J4" s="506"/>
    </row>
    <row r="5" spans="1:18" ht="18">
      <c r="A5" s="508" t="s">
        <v>119</v>
      </c>
      <c r="B5" s="508"/>
      <c r="C5" s="508"/>
      <c r="D5" s="508"/>
      <c r="E5" s="508"/>
      <c r="F5" s="508"/>
      <c r="G5" s="508"/>
      <c r="H5" s="508"/>
      <c r="I5" s="508"/>
      <c r="J5" s="508"/>
    </row>
    <row r="6" spans="1:18">
      <c r="A6" s="1"/>
      <c r="B6" s="1"/>
      <c r="C6" s="1"/>
      <c r="D6" s="2"/>
      <c r="E6" s="1"/>
      <c r="F6" s="1"/>
      <c r="G6" s="1"/>
      <c r="H6" s="3"/>
      <c r="I6" s="1"/>
      <c r="J6" s="4"/>
    </row>
    <row r="7" spans="1:18">
      <c r="D7" s="9"/>
      <c r="H7" s="10"/>
      <c r="J7" s="7"/>
    </row>
    <row r="8" spans="1:18" ht="38.25" customHeight="1">
      <c r="B8" s="463" t="s">
        <v>0</v>
      </c>
      <c r="C8" s="500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501"/>
      <c r="E8" s="501"/>
      <c r="F8" s="501"/>
      <c r="G8" s="501"/>
      <c r="H8" s="501"/>
      <c r="J8" s="7"/>
      <c r="R8" s="348"/>
    </row>
    <row r="9" spans="1:18">
      <c r="D9" s="9"/>
      <c r="H9" s="10"/>
      <c r="J9" s="7"/>
    </row>
    <row r="10" spans="1:18" ht="15.75">
      <c r="C10" s="8" t="str">
        <f>"A.   Determine 'R' with hypothetical "&amp;F13&amp;" basis point increase in ROE for Identified Projects"</f>
        <v>A.   Determine 'R' with hypothetical 0 basis point increase in ROE for Identified Projects</v>
      </c>
      <c r="D10" s="9"/>
      <c r="H10" s="10"/>
      <c r="J10" s="7"/>
      <c r="K10" s="101"/>
      <c r="L10" s="231"/>
    </row>
    <row r="11" spans="1:18">
      <c r="D11" s="9"/>
      <c r="H11" s="10"/>
      <c r="J11" s="7"/>
    </row>
    <row r="12" spans="1:18">
      <c r="C12" s="11" t="str">
        <f>S105</f>
        <v xml:space="preserve">   ROE w/o incentives  (TCOS, ln 141)</v>
      </c>
      <c r="D12" s="9"/>
      <c r="E12" s="12"/>
      <c r="F12" s="13">
        <f>+R105</f>
        <v>0.112</v>
      </c>
      <c r="G12" s="14"/>
      <c r="H12" s="15"/>
      <c r="I12" s="16"/>
      <c r="J12" s="17"/>
      <c r="K12" s="16"/>
      <c r="L12" s="16"/>
      <c r="M12" s="16"/>
      <c r="N12" s="16"/>
      <c r="O12" s="12"/>
      <c r="P12" s="16"/>
      <c r="Q12" s="1"/>
    </row>
    <row r="13" spans="1:18">
      <c r="C13" s="11" t="s">
        <v>1</v>
      </c>
      <c r="D13" s="9"/>
      <c r="E13" s="12"/>
      <c r="F13" s="241">
        <f>+R106</f>
        <v>0</v>
      </c>
      <c r="G13" t="s">
        <v>147</v>
      </c>
      <c r="K13" s="16"/>
      <c r="L13" s="16"/>
      <c r="M13" s="16"/>
      <c r="N13" s="16"/>
      <c r="O13" s="12"/>
      <c r="P13" s="16"/>
      <c r="Q13" s="1"/>
    </row>
    <row r="14" spans="1:18" ht="13.5" thickBot="1">
      <c r="C14" s="11" t="str">
        <f>"   ROE with additional "&amp;F13&amp;" basis point incentive"</f>
        <v xml:space="preserve">   ROE with additional 0 basis point incentive</v>
      </c>
      <c r="D14" s="12"/>
      <c r="E14" s="12"/>
      <c r="F14" s="20">
        <f>IF((F12+(F13/10000)&gt;0.1245),"ERROR",F12+(F13/10000))</f>
        <v>0.112</v>
      </c>
      <c r="G14" s="21" t="s">
        <v>2</v>
      </c>
      <c r="H14" s="16"/>
      <c r="I14" s="16"/>
      <c r="J14" s="17"/>
      <c r="K14" s="16"/>
      <c r="L14" s="16"/>
      <c r="M14" s="16"/>
      <c r="N14" s="16"/>
      <c r="O14" s="12"/>
      <c r="P14" s="16"/>
      <c r="Q14" s="1"/>
    </row>
    <row r="15" spans="1:18">
      <c r="C15" s="11" t="s">
        <v>221</v>
      </c>
      <c r="D15" s="9"/>
      <c r="E15" s="12"/>
      <c r="F15" s="20"/>
      <c r="G15" s="12"/>
      <c r="H15" s="16"/>
      <c r="I15" s="16"/>
      <c r="J15" s="17"/>
      <c r="K15" s="494" t="s">
        <v>3</v>
      </c>
      <c r="L15" s="495"/>
      <c r="M15" s="495"/>
      <c r="N15" s="495"/>
      <c r="O15" s="496"/>
      <c r="P15" s="16"/>
      <c r="Q15" s="1"/>
    </row>
    <row r="16" spans="1:18">
      <c r="C16" s="17"/>
      <c r="D16" s="23" t="s">
        <v>4</v>
      </c>
      <c r="E16" s="23" t="s">
        <v>5</v>
      </c>
      <c r="F16" s="24" t="s">
        <v>6</v>
      </c>
      <c r="G16" s="12"/>
      <c r="H16" s="16"/>
      <c r="I16" s="16"/>
      <c r="J16" s="17"/>
      <c r="K16" s="497"/>
      <c r="L16" s="498"/>
      <c r="M16" s="498"/>
      <c r="N16" s="498"/>
      <c r="O16" s="499"/>
      <c r="P16" s="16"/>
      <c r="Q16" s="1"/>
    </row>
    <row r="17" spans="3:17">
      <c r="C17" s="25" t="s">
        <v>7</v>
      </c>
      <c r="D17" s="26">
        <f>+R107</f>
        <v>0.51000680151348399</v>
      </c>
      <c r="E17" s="27">
        <f>+R108</f>
        <v>5.1744163244506244E-2</v>
      </c>
      <c r="F17" s="28">
        <f>E17*D17</f>
        <v>2.6389875193322209E-2</v>
      </c>
      <c r="G17" s="12"/>
      <c r="H17" s="16"/>
      <c r="I17" s="29"/>
      <c r="J17" s="30"/>
      <c r="K17" s="31"/>
      <c r="L17" s="32"/>
      <c r="M17" s="17" t="s">
        <v>8</v>
      </c>
      <c r="N17" s="17" t="s">
        <v>9</v>
      </c>
      <c r="O17" s="33" t="s">
        <v>10</v>
      </c>
      <c r="P17" s="16"/>
      <c r="Q17" s="1"/>
    </row>
    <row r="18" spans="3:17">
      <c r="C18" s="25" t="s">
        <v>11</v>
      </c>
      <c r="D18" s="26">
        <f>+R109</f>
        <v>0</v>
      </c>
      <c r="E18" s="27">
        <f>+R110</f>
        <v>0</v>
      </c>
      <c r="F18" s="28">
        <f>E18*D18</f>
        <v>0</v>
      </c>
      <c r="G18" s="35"/>
      <c r="H18" s="35"/>
      <c r="I18" s="36"/>
      <c r="J18" s="37"/>
      <c r="K18" s="38"/>
      <c r="L18" s="7"/>
      <c r="M18" s="7"/>
      <c r="N18" s="7"/>
      <c r="O18" s="39"/>
      <c r="P18" s="35"/>
      <c r="Q18" s="1"/>
    </row>
    <row r="19" spans="3:17" ht="13.5" thickBot="1">
      <c r="C19" s="40" t="s">
        <v>12</v>
      </c>
      <c r="D19" s="26">
        <f>+R111</f>
        <v>0.48999319848651607</v>
      </c>
      <c r="E19" s="27">
        <f>+F14</f>
        <v>0.112</v>
      </c>
      <c r="F19" s="41">
        <f>E19*D19</f>
        <v>5.4879238230489798E-2</v>
      </c>
      <c r="G19" s="35"/>
      <c r="H19" s="35"/>
      <c r="I19" s="20"/>
      <c r="J19" s="37"/>
      <c r="K19" s="42" t="s">
        <v>13</v>
      </c>
      <c r="L19" s="225">
        <f>R104</f>
        <v>2019</v>
      </c>
      <c r="M19" s="44">
        <f>SUM('P.001:P.xyz - blank'!N5)</f>
        <v>7470466.2267492693</v>
      </c>
      <c r="N19" s="44">
        <f>SUM('P.001:P.xyz - blank'!N6)</f>
        <v>7470466.2267492693</v>
      </c>
      <c r="O19" s="45">
        <f>+N19-M19</f>
        <v>0</v>
      </c>
      <c r="P19" s="36"/>
      <c r="Q19" s="1"/>
    </row>
    <row r="20" spans="3:17">
      <c r="C20" s="11"/>
      <c r="D20" s="12"/>
      <c r="E20" s="46" t="s">
        <v>14</v>
      </c>
      <c r="F20" s="28">
        <f>SUM(F17:F19)</f>
        <v>8.1269113423812003E-2</v>
      </c>
      <c r="G20" s="35"/>
      <c r="H20" s="35"/>
      <c r="I20" s="36"/>
      <c r="J20" s="37"/>
      <c r="M20" s="230" t="str">
        <f>IF(M19=SUM('P.001:P.xyz - blank'!N5),"","ERROR")</f>
        <v/>
      </c>
      <c r="N20" s="230" t="str">
        <f>IF(N19=SUM('P.001:P.xyz - blank'!N6),"","ERROR")</f>
        <v/>
      </c>
      <c r="O20" s="230" t="str">
        <f>IF(O19=SUM('P.001:P.xyz - blank'!N7),"","ERROR")</f>
        <v/>
      </c>
      <c r="P20" s="35"/>
      <c r="Q20" s="1"/>
    </row>
    <row r="21" spans="3:17">
      <c r="D21" s="47"/>
      <c r="E21" s="47"/>
      <c r="F21" s="35"/>
      <c r="G21" s="35"/>
      <c r="H21" s="35"/>
      <c r="I21" s="35"/>
      <c r="J21" s="48"/>
      <c r="K21" s="49" t="s">
        <v>15</v>
      </c>
      <c r="P21" s="35"/>
      <c r="Q21" s="1"/>
    </row>
    <row r="22" spans="3:17" ht="15.75">
      <c r="C22" s="8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47"/>
      <c r="E22" s="47"/>
      <c r="F22" s="50"/>
      <c r="G22" s="35"/>
      <c r="H22" s="12"/>
      <c r="I22" s="35"/>
      <c r="J22" s="48"/>
      <c r="K22" t="s">
        <v>16</v>
      </c>
      <c r="P22" s="35"/>
      <c r="Q22" s="1"/>
    </row>
    <row r="23" spans="3:17">
      <c r="C23" s="17"/>
      <c r="D23" s="47"/>
      <c r="E23" s="47"/>
      <c r="F23" s="48"/>
      <c r="G23" s="48"/>
      <c r="H23" s="48"/>
      <c r="I23" s="48"/>
      <c r="J23" s="48"/>
      <c r="K23" s="36"/>
      <c r="L23" s="34"/>
      <c r="M23" s="51"/>
      <c r="N23" s="36"/>
      <c r="O23" s="35"/>
      <c r="P23" s="48"/>
      <c r="Q23" s="4"/>
    </row>
    <row r="24" spans="3:17">
      <c r="C24" s="11" t="str">
        <f>+S112</f>
        <v xml:space="preserve">   Rate Base  (TCOS, ln 62)</v>
      </c>
      <c r="D24" s="12"/>
      <c r="E24" s="52">
        <f>+R112</f>
        <v>496666734.30559325</v>
      </c>
      <c r="F24" s="53"/>
      <c r="G24" s="48"/>
      <c r="H24" s="48"/>
      <c r="I24" s="48"/>
      <c r="J24" s="48"/>
      <c r="K24" s="48"/>
      <c r="L24" s="48"/>
      <c r="M24" s="48"/>
      <c r="N24" s="48"/>
      <c r="O24" s="48"/>
      <c r="P24" s="53"/>
      <c r="Q24" s="4"/>
    </row>
    <row r="25" spans="3:17">
      <c r="C25" s="17" t="s">
        <v>17</v>
      </c>
      <c r="D25" s="14"/>
      <c r="E25" s="54">
        <f>F20</f>
        <v>8.1269113423812003E-2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"/>
    </row>
    <row r="26" spans="3:17">
      <c r="C26" s="55" t="s">
        <v>18</v>
      </c>
      <c r="D26" s="55"/>
      <c r="E26" s="36">
        <f>E24*E25</f>
        <v>40363665.164115556</v>
      </c>
      <c r="F26" s="48"/>
      <c r="G26" s="48"/>
      <c r="H26" s="48"/>
      <c r="I26" s="37"/>
      <c r="J26" s="37"/>
      <c r="K26" s="37"/>
      <c r="L26" s="37"/>
      <c r="M26" s="48"/>
      <c r="N26" s="37"/>
      <c r="O26" s="48"/>
      <c r="P26" s="48"/>
      <c r="Q26" s="4"/>
    </row>
    <row r="27" spans="3:17">
      <c r="C27" s="56"/>
      <c r="D27" s="16"/>
      <c r="E27" s="16"/>
      <c r="F27" s="48"/>
      <c r="G27" s="48"/>
      <c r="H27" s="48"/>
      <c r="I27" s="37"/>
      <c r="J27" s="37"/>
      <c r="K27" s="37"/>
      <c r="L27" s="37"/>
      <c r="M27" s="48"/>
      <c r="N27" s="37"/>
      <c r="O27" s="48"/>
      <c r="P27" s="48"/>
      <c r="Q27" s="4"/>
    </row>
    <row r="28" spans="3:17" ht="15.75">
      <c r="C28" s="8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57"/>
      <c r="E28" s="57"/>
      <c r="F28" s="58"/>
      <c r="G28" s="58"/>
      <c r="H28" s="58"/>
      <c r="I28" s="59"/>
      <c r="J28" s="59"/>
      <c r="K28" s="59"/>
      <c r="L28" s="59"/>
      <c r="M28" s="48"/>
      <c r="N28" s="59"/>
      <c r="O28" s="58"/>
      <c r="P28" s="58"/>
      <c r="Q28" s="4"/>
    </row>
    <row r="29" spans="3:17">
      <c r="C29" s="11"/>
      <c r="D29" s="16"/>
      <c r="E29" s="16"/>
      <c r="F29" s="48"/>
      <c r="G29" s="48"/>
      <c r="H29" s="48"/>
      <c r="I29" s="37"/>
      <c r="J29" s="37"/>
      <c r="K29" s="37"/>
      <c r="L29" s="37"/>
      <c r="M29" s="48"/>
      <c r="N29" s="37"/>
      <c r="O29" s="48"/>
      <c r="P29" s="48"/>
      <c r="Q29" s="4"/>
    </row>
    <row r="30" spans="3:17">
      <c r="C30" s="17" t="s">
        <v>19</v>
      </c>
      <c r="D30" s="46"/>
      <c r="E30" s="60">
        <f>E26</f>
        <v>40363665.164115556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"/>
    </row>
    <row r="31" spans="3:17">
      <c r="C31" s="11" t="str">
        <f>+S113</f>
        <v xml:space="preserve">   Tax Rate  (TCOS, ln 97)</v>
      </c>
      <c r="D31" s="46"/>
      <c r="E31" s="61">
        <f>+R113</f>
        <v>0.2533709999999999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"/>
    </row>
    <row r="32" spans="3:17">
      <c r="C32" s="17" t="s">
        <v>20</v>
      </c>
      <c r="D32" s="2"/>
      <c r="E32" s="20">
        <f>IF(F17&gt;0,($E31/(1-$E31))*(1-$F17/$F20),0)</f>
        <v>0.22915777847180038</v>
      </c>
      <c r="F32" s="1"/>
      <c r="G32" s="20"/>
      <c r="H32" s="3"/>
      <c r="I32" s="1"/>
      <c r="J32" s="4"/>
      <c r="K32" s="1"/>
      <c r="L32" s="1"/>
      <c r="M32" s="1"/>
      <c r="N32" s="1"/>
      <c r="O32" s="1"/>
      <c r="P32" s="1"/>
      <c r="Q32" s="1"/>
    </row>
    <row r="33" spans="2:19">
      <c r="C33" s="55" t="s">
        <v>21</v>
      </c>
      <c r="D33" s="62"/>
      <c r="E33" s="63">
        <f>E30*E32</f>
        <v>9249647.8399883192</v>
      </c>
      <c r="F33" s="63"/>
      <c r="G33" s="1"/>
      <c r="H33" s="3"/>
      <c r="I33" s="1"/>
      <c r="J33" s="4"/>
      <c r="K33" s="1"/>
      <c r="L33" s="1"/>
      <c r="M33" s="1"/>
      <c r="N33" s="1"/>
      <c r="O33" s="1"/>
      <c r="P33" s="1"/>
      <c r="Q33" s="1"/>
    </row>
    <row r="34" spans="2:19" ht="15">
      <c r="C34" s="11" t="str">
        <f>+S114</f>
        <v xml:space="preserve">   ITC Adjustment  (TCOS, ln 106)</v>
      </c>
      <c r="D34" s="65"/>
      <c r="E34" s="68">
        <f>+R114</f>
        <v>-393625.88846337283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7"/>
      <c r="Q34" s="65"/>
    </row>
    <row r="35" spans="2:19" ht="15">
      <c r="C35" s="11" t="str">
        <f>+S115</f>
        <v xml:space="preserve">   Excess DFIT Adjustment  (TCOS, ln 107)</v>
      </c>
      <c r="D35" s="65"/>
      <c r="E35" s="68">
        <f>+R115</f>
        <v>-2558969.7158829882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7"/>
      <c r="Q35" s="65"/>
    </row>
    <row r="36" spans="2:19" ht="15">
      <c r="C36" s="11" t="str">
        <f>+S116</f>
        <v xml:space="preserve">   Tax Effect of Permanent and Flow Through Differences  (TCOS, ln 108)</v>
      </c>
      <c r="D36" s="65"/>
      <c r="E36" s="66">
        <f>+R116</f>
        <v>81004.086366856878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7"/>
      <c r="Q36" s="65"/>
    </row>
    <row r="37" spans="2:19" ht="15">
      <c r="C37" s="56" t="s">
        <v>22</v>
      </c>
      <c r="D37" s="65"/>
      <c r="E37" s="68">
        <f>E33+E34+E35+E36</f>
        <v>6378056.3220088147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9"/>
      <c r="Q37" s="65"/>
    </row>
    <row r="38" spans="2:19" ht="12.75" customHeight="1">
      <c r="C38" s="70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9"/>
      <c r="Q38" s="65"/>
      <c r="R38" s="1"/>
      <c r="S38" s="1"/>
    </row>
    <row r="39" spans="2:19" ht="18.75">
      <c r="B39" s="5" t="s">
        <v>23</v>
      </c>
      <c r="C39" s="71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9"/>
      <c r="Q39" s="65"/>
      <c r="R39" s="1"/>
      <c r="S39" s="1"/>
    </row>
    <row r="40" spans="2:19" ht="15.75" customHeight="1">
      <c r="B40" s="5"/>
      <c r="C40" s="71" t="str">
        <f>"ROE increase."</f>
        <v>ROE increase.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9"/>
      <c r="Q40" s="65"/>
      <c r="R40" s="1"/>
      <c r="S40" s="1"/>
    </row>
    <row r="41" spans="2:19" ht="12.75" customHeight="1">
      <c r="C41" s="7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9"/>
      <c r="Q41" s="65"/>
      <c r="R41" s="1"/>
      <c r="S41" s="1"/>
    </row>
    <row r="42" spans="2:19" ht="15.75">
      <c r="C42" s="8" t="s">
        <v>24</v>
      </c>
      <c r="D42" s="65"/>
      <c r="E42" s="65"/>
      <c r="F42" s="72"/>
      <c r="G42" s="65"/>
      <c r="H42" s="65"/>
      <c r="I42" s="65"/>
      <c r="J42" s="65"/>
      <c r="K42" s="65"/>
      <c r="L42" s="65"/>
      <c r="M42" s="65"/>
      <c r="N42" s="65"/>
      <c r="O42" s="65"/>
      <c r="P42" s="69"/>
      <c r="Q42" s="65"/>
      <c r="R42" s="1"/>
      <c r="S42" s="1"/>
    </row>
    <row r="43" spans="2:19">
      <c r="B43" s="1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68"/>
      <c r="Q43" s="74"/>
      <c r="R43" s="1"/>
      <c r="S43" s="1"/>
    </row>
    <row r="44" spans="2:19" ht="12.75" customHeight="1">
      <c r="B44" s="1"/>
      <c r="C44" s="11" t="str">
        <f>+S117</f>
        <v xml:space="preserve">   Net Revenue Requirement  (TCOS, ln 115)</v>
      </c>
      <c r="D44" s="74"/>
      <c r="E44" s="74"/>
      <c r="F44" s="68">
        <f>+R117</f>
        <v>97521772.229186505</v>
      </c>
      <c r="G44" s="74"/>
      <c r="H44" s="74"/>
      <c r="I44" s="74"/>
      <c r="J44" s="74"/>
      <c r="K44" s="74"/>
      <c r="L44" s="74"/>
      <c r="M44" s="74"/>
      <c r="N44" s="74"/>
      <c r="O44" s="74"/>
      <c r="P44" s="68"/>
      <c r="Q44" s="74"/>
      <c r="R44" s="1"/>
      <c r="S44" s="1"/>
    </row>
    <row r="45" spans="2:19">
      <c r="B45" s="1"/>
      <c r="C45" s="11" t="str">
        <f>+S118</f>
        <v xml:space="preserve">   Return  (TCOS, ln 110)</v>
      </c>
      <c r="D45" s="74"/>
      <c r="E45" s="74"/>
      <c r="F45" s="75">
        <f>+R118</f>
        <v>40363665.164115556</v>
      </c>
      <c r="G45" s="76"/>
      <c r="H45" s="76"/>
      <c r="I45" s="76"/>
      <c r="J45" s="76"/>
      <c r="K45" s="76"/>
      <c r="L45" s="76"/>
      <c r="M45" s="76"/>
      <c r="N45" s="76"/>
      <c r="O45" s="76"/>
      <c r="P45" s="68"/>
      <c r="Q45" s="74"/>
      <c r="R45" s="1"/>
      <c r="S45" s="1"/>
    </row>
    <row r="46" spans="2:19">
      <c r="B46" s="1"/>
      <c r="C46" s="11" t="str">
        <f>+S119</f>
        <v xml:space="preserve">   Income Taxes  (TCOS, ln 109)</v>
      </c>
      <c r="D46" s="74"/>
      <c r="E46" s="74"/>
      <c r="F46" s="68">
        <f>+R119</f>
        <v>6378056.3220088147</v>
      </c>
      <c r="G46" s="74"/>
      <c r="H46" s="74"/>
      <c r="I46" s="77"/>
      <c r="J46" s="77"/>
      <c r="K46" s="77"/>
      <c r="L46" s="77"/>
      <c r="M46" s="77"/>
      <c r="N46" s="77"/>
      <c r="O46" s="74"/>
      <c r="P46" s="74"/>
      <c r="Q46" s="74"/>
      <c r="R46" s="1"/>
      <c r="S46" s="1"/>
    </row>
    <row r="47" spans="2:19">
      <c r="B47" s="1"/>
      <c r="C47" s="73" t="str">
        <f>+S120</f>
        <v xml:space="preserve">  Gross Margin Taxes  (TCOS, ln 114)</v>
      </c>
      <c r="D47" s="74"/>
      <c r="E47" s="74"/>
      <c r="F47" s="66">
        <f>+R120</f>
        <v>0</v>
      </c>
      <c r="G47" s="74"/>
      <c r="H47" s="74"/>
      <c r="I47" s="77"/>
      <c r="J47" s="77"/>
      <c r="K47" s="77"/>
      <c r="L47" s="77"/>
      <c r="M47" s="77"/>
      <c r="N47" s="77"/>
      <c r="O47" s="74"/>
      <c r="P47" s="74"/>
      <c r="Q47" s="74"/>
      <c r="R47" s="1"/>
      <c r="S47" s="1"/>
    </row>
    <row r="48" spans="2:19">
      <c r="B48" s="1"/>
      <c r="C48" s="22" t="s">
        <v>25</v>
      </c>
      <c r="D48" s="74"/>
      <c r="E48" s="74"/>
      <c r="F48" s="75">
        <f>F44-F45-F46-F47</f>
        <v>50780050.743062139</v>
      </c>
      <c r="G48" s="78"/>
      <c r="H48" s="74"/>
      <c r="I48" s="78"/>
      <c r="J48" s="78"/>
      <c r="K48" s="78"/>
      <c r="L48" s="78"/>
      <c r="M48" s="78"/>
      <c r="N48" s="78"/>
      <c r="O48" s="74"/>
      <c r="P48" s="78"/>
      <c r="Q48" s="74"/>
      <c r="R48" s="1"/>
      <c r="S48" s="1"/>
    </row>
    <row r="49" spans="2:19">
      <c r="B49" s="1"/>
      <c r="C49" s="73"/>
      <c r="D49" s="74"/>
      <c r="E49" s="74"/>
      <c r="F49" s="68"/>
      <c r="G49" s="79"/>
      <c r="H49" s="80"/>
      <c r="I49" s="80"/>
      <c r="J49" s="80"/>
      <c r="K49" s="80"/>
      <c r="L49" s="80"/>
      <c r="M49" s="80"/>
      <c r="N49" s="80"/>
      <c r="O49" s="81"/>
      <c r="P49" s="80"/>
      <c r="Q49" s="82"/>
      <c r="R49" s="1"/>
      <c r="S49" s="1"/>
    </row>
    <row r="50" spans="2:19" ht="15.75">
      <c r="B50" s="1"/>
      <c r="C50" s="8" t="str">
        <f>"B.   Determine Net Revenue Requirement with hypothetical "&amp;F13&amp;" basis point increase in ROE."</f>
        <v>B.   Determine Net Revenue Requirement with hypothetical 0 basis point increase in ROE.</v>
      </c>
      <c r="D50" s="81"/>
      <c r="E50" s="81"/>
      <c r="F50" s="68"/>
      <c r="G50" s="79"/>
      <c r="H50" s="80"/>
      <c r="I50" s="80"/>
      <c r="J50" s="80"/>
      <c r="K50" s="80"/>
      <c r="L50" s="80"/>
      <c r="M50" s="80"/>
      <c r="N50" s="80"/>
      <c r="O50" s="81"/>
      <c r="P50" s="80"/>
      <c r="Q50" s="74"/>
    </row>
    <row r="51" spans="2:19">
      <c r="B51" s="1"/>
      <c r="C51" s="73"/>
      <c r="D51" s="81"/>
      <c r="E51" s="81"/>
      <c r="F51" s="68"/>
      <c r="G51" s="79"/>
      <c r="H51" s="80"/>
      <c r="I51" s="80"/>
      <c r="J51" s="80"/>
      <c r="K51" s="80"/>
      <c r="L51" s="80"/>
      <c r="M51" s="80"/>
      <c r="N51" s="80"/>
      <c r="O51" s="81"/>
      <c r="P51" s="80"/>
      <c r="Q51" s="74"/>
    </row>
    <row r="52" spans="2:19">
      <c r="B52" s="1"/>
      <c r="C52" s="73" t="str">
        <f>C48</f>
        <v xml:space="preserve">   Net Revenue Requirement, Less Return and Taxes</v>
      </c>
      <c r="D52" s="81"/>
      <c r="E52" s="81"/>
      <c r="F52" s="68">
        <f>F48</f>
        <v>50780050.743062139</v>
      </c>
      <c r="G52" s="74"/>
      <c r="H52" s="74"/>
      <c r="I52" s="74"/>
      <c r="J52" s="74"/>
      <c r="K52" s="74"/>
      <c r="L52" s="74"/>
      <c r="M52" s="74"/>
      <c r="N52" s="74"/>
      <c r="O52" s="83"/>
      <c r="P52" s="84"/>
      <c r="Q52" s="85"/>
    </row>
    <row r="53" spans="2:19">
      <c r="B53" s="1"/>
      <c r="C53" s="17" t="s">
        <v>98</v>
      </c>
      <c r="D53" s="86"/>
      <c r="E53" s="22"/>
      <c r="F53" s="87">
        <f>E26</f>
        <v>40363665.164115556</v>
      </c>
      <c r="G53" s="22"/>
      <c r="H53" s="88"/>
      <c r="I53" s="22"/>
      <c r="J53" s="22"/>
      <c r="K53" s="22"/>
      <c r="L53" s="22"/>
      <c r="M53" s="22"/>
      <c r="N53" s="22"/>
      <c r="O53" s="22"/>
      <c r="P53" s="22"/>
      <c r="Q53" s="22"/>
    </row>
    <row r="54" spans="2:19" ht="12.75" customHeight="1">
      <c r="B54" s="1"/>
      <c r="C54" s="11" t="s">
        <v>26</v>
      </c>
      <c r="D54" s="74"/>
      <c r="E54" s="74"/>
      <c r="F54" s="89">
        <f>E37</f>
        <v>6378056.3220088147</v>
      </c>
      <c r="G54" s="1"/>
      <c r="H54" s="3"/>
      <c r="I54" s="1"/>
      <c r="J54" s="4"/>
      <c r="K54" s="1"/>
      <c r="L54" s="1"/>
      <c r="M54" s="1"/>
      <c r="N54" s="1"/>
      <c r="O54" s="1"/>
      <c r="P54" s="1"/>
      <c r="Q54" s="1"/>
    </row>
    <row r="55" spans="2:19">
      <c r="B55" s="1"/>
      <c r="C55" s="22" t="str">
        <f>"   Net Revenue Requirement, with "&amp;F13&amp;" Basis Point ROE increase"</f>
        <v xml:space="preserve">   Net Revenue Requirement, with 0 Basis Point ROE increase</v>
      </c>
      <c r="D55" s="2"/>
      <c r="E55" s="1"/>
      <c r="F55" s="63">
        <f>SUM(F52:F54)</f>
        <v>97521772.229186505</v>
      </c>
      <c r="G55" s="1"/>
      <c r="H55" s="3"/>
      <c r="I55" s="1"/>
      <c r="J55" s="4"/>
      <c r="K55" s="1"/>
      <c r="L55" s="1"/>
      <c r="M55" s="1"/>
      <c r="N55" s="1"/>
      <c r="O55" s="1"/>
      <c r="P55" s="1"/>
      <c r="Q55" s="1"/>
      <c r="R55" s="1"/>
      <c r="S55" s="1"/>
    </row>
    <row r="56" spans="2:19">
      <c r="B56" s="1"/>
      <c r="C56" s="64" t="str">
        <f>"   Gross Margin Tax with "&amp;F13&amp;" Basis Point ROE Increase (II C. below)"</f>
        <v xml:space="preserve">   Gross Margin Tax with 0 Basis Point ROE Increase (II C. below)</v>
      </c>
      <c r="D56" s="90"/>
      <c r="E56" s="90"/>
      <c r="F56" s="91">
        <f>+F71</f>
        <v>0</v>
      </c>
      <c r="G56" s="1"/>
      <c r="H56" s="3"/>
      <c r="I56" s="1"/>
      <c r="J56" s="4"/>
      <c r="K56" s="1"/>
      <c r="L56" s="1"/>
      <c r="M56" s="1"/>
      <c r="N56" s="1"/>
      <c r="O56" s="1"/>
      <c r="P56" s="1"/>
      <c r="Q56" s="1"/>
      <c r="R56" s="1"/>
      <c r="S56" s="1"/>
    </row>
    <row r="57" spans="2:19">
      <c r="B57" s="1"/>
      <c r="C57" s="22" t="s">
        <v>27</v>
      </c>
      <c r="D57" s="2"/>
      <c r="E57" s="1"/>
      <c r="F57" s="92">
        <f>+F55+F56</f>
        <v>97521772.229186505</v>
      </c>
      <c r="G57" s="1"/>
      <c r="H57" s="3"/>
      <c r="I57" s="1"/>
      <c r="J57" s="4"/>
      <c r="K57" s="1"/>
      <c r="L57" s="1"/>
      <c r="M57" s="1"/>
      <c r="N57" s="1"/>
      <c r="O57" s="1"/>
      <c r="P57" s="1"/>
      <c r="Q57" s="1"/>
      <c r="R57" s="1"/>
      <c r="S57" s="1"/>
    </row>
    <row r="58" spans="2:19">
      <c r="B58" s="1"/>
      <c r="C58" s="11" t="str">
        <f>+S121</f>
        <v xml:space="preserve">   Less: Depreciation  (TCOS, ln 84)</v>
      </c>
      <c r="D58" s="2"/>
      <c r="E58" s="1"/>
      <c r="F58" s="93">
        <f>+R121</f>
        <v>21756023.463906325</v>
      </c>
      <c r="G58" s="1"/>
      <c r="H58" s="3"/>
      <c r="I58" s="1"/>
      <c r="J58" s="4"/>
      <c r="K58" s="1"/>
      <c r="L58" s="1"/>
      <c r="M58" s="1"/>
      <c r="N58" s="1"/>
      <c r="O58" s="1"/>
      <c r="P58" s="1"/>
      <c r="Q58" s="1"/>
      <c r="R58" s="1"/>
      <c r="S58" s="1"/>
    </row>
    <row r="59" spans="2:19">
      <c r="B59" s="1"/>
      <c r="C59" s="22" t="str">
        <f>"   Net Rev. Req, w/"&amp;F13&amp;" Basis Point ROE increase, less Depreciation"</f>
        <v xml:space="preserve">   Net Rev. Req, w/0 Basis Point ROE increase, less Depreciation</v>
      </c>
      <c r="D59" s="2"/>
      <c r="E59" s="1"/>
      <c r="F59" s="63">
        <f>F57-F58</f>
        <v>75765748.765280187</v>
      </c>
      <c r="G59" s="1"/>
      <c r="H59" s="3"/>
      <c r="I59" s="1"/>
      <c r="J59" s="4"/>
      <c r="K59" s="1"/>
      <c r="L59" s="1"/>
      <c r="M59" s="1"/>
      <c r="N59" s="1"/>
      <c r="O59" s="1"/>
      <c r="P59" s="1"/>
      <c r="Q59" s="1"/>
      <c r="R59" s="1"/>
      <c r="S59" s="1"/>
    </row>
    <row r="60" spans="2:19">
      <c r="B60" s="1"/>
      <c r="C60" s="1"/>
      <c r="D60" s="2"/>
      <c r="E60" s="1"/>
      <c r="F60" s="1"/>
      <c r="G60" s="1"/>
      <c r="H60" s="3"/>
      <c r="I60" s="1"/>
      <c r="J60" s="4"/>
      <c r="K60" s="1"/>
      <c r="L60" s="1"/>
      <c r="M60" s="1"/>
      <c r="N60" s="1"/>
      <c r="O60" s="1"/>
      <c r="P60" s="1"/>
      <c r="Q60" s="1"/>
      <c r="R60" s="1"/>
      <c r="S60" s="1"/>
    </row>
    <row r="61" spans="2:19" ht="15.75">
      <c r="B61" s="18"/>
      <c r="C61" s="94" t="str">
        <f>"C.   Determine Gross Margin Tax with hypothetical "&amp;F13&amp;" basis point increase in ROE."</f>
        <v>C.   Determine Gross Margin Tax with hypothetical 0 basis point increase in ROE.</v>
      </c>
      <c r="D61" s="95"/>
      <c r="E61" s="95"/>
      <c r="F61" s="96"/>
      <c r="G61" s="18"/>
      <c r="H61" s="97"/>
      <c r="I61" s="18"/>
      <c r="J61" s="4"/>
      <c r="K61" s="1"/>
      <c r="L61" s="1"/>
      <c r="M61" s="1"/>
      <c r="N61" s="1"/>
      <c r="O61" s="1"/>
      <c r="P61" s="1"/>
      <c r="Q61" s="1"/>
      <c r="R61" s="1"/>
      <c r="S61" s="1"/>
    </row>
    <row r="62" spans="2:19">
      <c r="B62" s="18"/>
      <c r="C62" s="64" t="str">
        <f>"   Net Revenue Requirement before Gross Margin Taxes, with "&amp;F13&amp;" "</f>
        <v xml:space="preserve">   Net Revenue Requirement before Gross Margin Taxes, with 0 </v>
      </c>
      <c r="D62" s="95"/>
      <c r="E62" s="95"/>
      <c r="F62" s="96">
        <f>+F55</f>
        <v>97521772.229186505</v>
      </c>
      <c r="G62" s="18"/>
      <c r="H62" s="97"/>
      <c r="I62" s="18"/>
      <c r="J62" s="4"/>
      <c r="K62" s="1"/>
      <c r="L62" s="1"/>
      <c r="M62" s="1"/>
      <c r="N62" s="1"/>
      <c r="O62" s="1"/>
      <c r="P62" s="1"/>
      <c r="Q62" s="1"/>
      <c r="R62" s="1"/>
      <c r="S62" s="1"/>
    </row>
    <row r="63" spans="2:19">
      <c r="B63" s="18"/>
      <c r="C63" s="64" t="s">
        <v>28</v>
      </c>
      <c r="D63" s="95"/>
      <c r="E63" s="95"/>
      <c r="F63" s="96"/>
      <c r="G63" s="18"/>
      <c r="H63" s="97"/>
      <c r="I63" s="18"/>
      <c r="J63" s="4"/>
      <c r="K63" s="1"/>
      <c r="L63" s="1"/>
      <c r="M63" s="1"/>
      <c r="N63" s="1"/>
      <c r="O63" s="1"/>
      <c r="P63" s="1"/>
      <c r="Q63" s="1"/>
      <c r="R63" s="1"/>
      <c r="S63" s="1"/>
    </row>
    <row r="64" spans="2:19">
      <c r="B64" s="18"/>
      <c r="C64" s="22" t="s">
        <v>281</v>
      </c>
      <c r="D64" s="62"/>
      <c r="E64" s="18"/>
      <c r="F64" s="98">
        <f>+R122</f>
        <v>0</v>
      </c>
      <c r="G64" s="18"/>
      <c r="H64" s="97"/>
      <c r="I64" s="18"/>
      <c r="J64" s="4"/>
      <c r="K64" s="1"/>
      <c r="L64" s="1"/>
      <c r="M64" s="1"/>
      <c r="N64" s="1"/>
      <c r="O64" s="1"/>
      <c r="P64" s="1"/>
      <c r="Q64" s="1"/>
      <c r="R64" s="1"/>
      <c r="S64" s="1"/>
    </row>
    <row r="65" spans="2:19">
      <c r="B65" s="18"/>
      <c r="C65" s="22" t="s">
        <v>282</v>
      </c>
      <c r="D65" s="62"/>
      <c r="E65" s="18"/>
      <c r="F65" s="96">
        <f>+F62*F64</f>
        <v>0</v>
      </c>
      <c r="G65" s="18"/>
      <c r="H65" s="97"/>
      <c r="I65" s="18"/>
      <c r="J65" s="4"/>
      <c r="K65" s="1"/>
      <c r="L65" s="1"/>
      <c r="M65" s="1"/>
      <c r="N65" s="1"/>
      <c r="O65" s="1"/>
      <c r="P65" s="1"/>
      <c r="Q65" s="1"/>
      <c r="R65" s="1"/>
      <c r="S65" s="1"/>
    </row>
    <row r="66" spans="2:19">
      <c r="B66" s="18"/>
      <c r="C66" s="22" t="s">
        <v>283</v>
      </c>
      <c r="D66" s="62"/>
      <c r="E66" s="18"/>
      <c r="F66" s="99">
        <v>0.22</v>
      </c>
      <c r="G66" s="18"/>
      <c r="H66" s="97"/>
      <c r="I66" s="18"/>
      <c r="J66" s="4"/>
      <c r="K66" s="1"/>
      <c r="L66" s="1"/>
      <c r="M66" s="1"/>
      <c r="N66" s="1"/>
      <c r="O66" s="1"/>
      <c r="P66" s="1"/>
      <c r="Q66" s="1"/>
      <c r="R66" s="1"/>
      <c r="S66" s="1"/>
    </row>
    <row r="67" spans="2:19">
      <c r="B67" s="18"/>
      <c r="C67" s="22" t="s">
        <v>284</v>
      </c>
      <c r="D67" s="62"/>
      <c r="E67" s="18"/>
      <c r="F67" s="96">
        <f>+F65*F66</f>
        <v>0</v>
      </c>
      <c r="G67" s="18"/>
      <c r="H67" s="97"/>
      <c r="I67" s="18"/>
      <c r="J67" s="4"/>
      <c r="K67" s="1"/>
      <c r="L67" s="1"/>
      <c r="M67" s="1"/>
      <c r="N67" s="1"/>
      <c r="O67" s="1"/>
      <c r="P67" s="1"/>
      <c r="Q67" s="1"/>
      <c r="R67" s="1"/>
      <c r="S67" s="1"/>
    </row>
    <row r="68" spans="2:19">
      <c r="B68" s="18"/>
      <c r="C68" s="22" t="s">
        <v>285</v>
      </c>
      <c r="D68" s="62"/>
      <c r="E68" s="18"/>
      <c r="F68" s="99">
        <v>0.01</v>
      </c>
      <c r="G68" s="18"/>
      <c r="H68" s="97"/>
      <c r="I68" s="18"/>
      <c r="J68" s="4"/>
      <c r="K68" s="1"/>
      <c r="L68" s="1"/>
      <c r="M68" s="1"/>
      <c r="N68" s="1"/>
      <c r="O68" s="1"/>
      <c r="P68" s="1"/>
      <c r="Q68" s="1"/>
      <c r="R68" s="1"/>
      <c r="S68" s="1"/>
    </row>
    <row r="69" spans="2:19">
      <c r="B69" s="18"/>
      <c r="C69" s="22" t="s">
        <v>286</v>
      </c>
      <c r="D69" s="62"/>
      <c r="E69" s="18"/>
      <c r="F69" s="96">
        <f>+F67*F68</f>
        <v>0</v>
      </c>
      <c r="G69" s="18"/>
      <c r="H69" s="97"/>
      <c r="I69" s="18"/>
      <c r="J69" s="4"/>
      <c r="K69" s="1"/>
      <c r="L69" s="1"/>
      <c r="M69" s="1"/>
      <c r="N69" s="1"/>
      <c r="O69" s="1"/>
      <c r="P69" s="1"/>
      <c r="Q69" s="1"/>
      <c r="R69" s="1"/>
      <c r="S69" s="1"/>
    </row>
    <row r="70" spans="2:19">
      <c r="B70" s="18"/>
      <c r="C70" s="22" t="s">
        <v>287</v>
      </c>
      <c r="D70" s="62"/>
      <c r="E70" s="18"/>
      <c r="F70" s="100">
        <f>+ROUND((F69*F66*F64)/(1-F68)*F68,0)</f>
        <v>0</v>
      </c>
      <c r="G70" s="18"/>
      <c r="H70" s="97"/>
      <c r="I70" s="18"/>
      <c r="J70" s="4"/>
      <c r="K70" s="1"/>
      <c r="L70" s="1"/>
      <c r="M70" s="1"/>
      <c r="N70" s="1"/>
      <c r="O70" s="1"/>
      <c r="P70" s="1"/>
      <c r="Q70" s="1"/>
      <c r="R70" s="1"/>
      <c r="S70" s="1"/>
    </row>
    <row r="71" spans="2:19">
      <c r="B71" s="18"/>
      <c r="C71" s="22" t="s">
        <v>29</v>
      </c>
      <c r="D71" s="62"/>
      <c r="E71" s="18"/>
      <c r="F71" s="96">
        <f>+F69+F70</f>
        <v>0</v>
      </c>
      <c r="G71" s="18"/>
      <c r="H71" s="97"/>
      <c r="I71" s="18"/>
      <c r="J71" s="4"/>
      <c r="K71" s="1"/>
      <c r="L71" s="1"/>
      <c r="M71" s="1"/>
      <c r="N71" s="1"/>
      <c r="O71" s="1"/>
      <c r="P71" s="1"/>
      <c r="Q71" s="1"/>
      <c r="R71" s="1"/>
      <c r="S71" s="1"/>
    </row>
    <row r="72" spans="2:19">
      <c r="B72" s="1"/>
      <c r="C72" s="1"/>
      <c r="D72" s="2"/>
      <c r="E72" s="1"/>
      <c r="F72" s="1"/>
      <c r="G72" s="1"/>
      <c r="H72" s="3"/>
      <c r="I72" s="1"/>
      <c r="J72" s="4"/>
      <c r="K72" s="1"/>
      <c r="L72" s="1"/>
      <c r="M72" s="1"/>
      <c r="N72" s="1"/>
      <c r="O72" s="1"/>
      <c r="P72" s="1"/>
      <c r="Q72" s="1"/>
      <c r="R72" s="1"/>
      <c r="S72" s="1"/>
    </row>
    <row r="73" spans="2:19" ht="15.75">
      <c r="B73" s="1"/>
      <c r="C73" s="8" t="str">
        <f>"D.   Determine FCR with hypothetical "&amp;F13&amp;" basis point ROE increase."</f>
        <v>D.   Determine FCR with hypothetical 0 basis point ROE increase.</v>
      </c>
      <c r="D73" s="2"/>
      <c r="E73" s="1"/>
      <c r="F73" s="1"/>
      <c r="G73" s="1"/>
      <c r="H73" s="3"/>
      <c r="I73" s="1"/>
      <c r="J73" s="4"/>
      <c r="K73" s="1"/>
      <c r="L73" s="1"/>
      <c r="M73" s="1"/>
      <c r="N73" s="1"/>
      <c r="O73" s="1"/>
      <c r="P73" s="1"/>
      <c r="Q73" s="1"/>
      <c r="R73" s="1"/>
      <c r="S73" s="1"/>
    </row>
    <row r="74" spans="2:19">
      <c r="B74" s="1"/>
      <c r="C74" s="1"/>
      <c r="D74" s="2"/>
      <c r="E74" s="1"/>
      <c r="F74" s="1"/>
      <c r="G74" s="1"/>
      <c r="H74" s="3"/>
      <c r="I74" s="1"/>
      <c r="J74" s="4"/>
      <c r="K74" s="1"/>
      <c r="L74" s="1"/>
      <c r="M74" s="1"/>
      <c r="N74" s="1"/>
      <c r="O74" s="1"/>
      <c r="P74" s="1"/>
      <c r="Q74" s="1"/>
      <c r="R74" s="1"/>
      <c r="S74" s="1"/>
    </row>
    <row r="75" spans="2:19">
      <c r="B75" s="1"/>
      <c r="C75" s="11" t="str">
        <f>+S123</f>
        <v xml:space="preserve">   Net Transmission Plant  (TCOS, ln 37)</v>
      </c>
      <c r="D75" s="2"/>
      <c r="E75" s="1"/>
      <c r="F75" s="63">
        <f>+R123</f>
        <v>657550074.02061653</v>
      </c>
      <c r="G75" s="101"/>
      <c r="H75" s="10"/>
      <c r="J75" s="7"/>
      <c r="P75" s="1"/>
      <c r="Q75" s="1"/>
      <c r="R75" s="1"/>
      <c r="S75" s="1"/>
    </row>
    <row r="76" spans="2:19">
      <c r="B76" s="1"/>
      <c r="C76" s="22" t="str">
        <f>"   Net Revenue Requirement, with "&amp;F13&amp;" Basis Point ROE increase"</f>
        <v xml:space="preserve">   Net Revenue Requirement, with 0 Basis Point ROE increase</v>
      </c>
      <c r="D76" s="2"/>
      <c r="E76" s="1"/>
      <c r="F76" s="102">
        <f>F55</f>
        <v>97521772.229186505</v>
      </c>
      <c r="H76" s="10"/>
      <c r="J76" s="7"/>
      <c r="P76" s="1"/>
      <c r="Q76" s="1"/>
      <c r="R76" s="1"/>
      <c r="S76" s="1"/>
    </row>
    <row r="77" spans="2:19">
      <c r="B77" s="1"/>
      <c r="C77" s="22" t="str">
        <f>"   FCR with "&amp;F13&amp;" Basis Point increase in ROE"</f>
        <v xml:space="preserve">   FCR with 0 Basis Point increase in ROE</v>
      </c>
      <c r="D77" s="2"/>
      <c r="E77" s="1"/>
      <c r="F77" s="103">
        <f>IF(F75=0,0,F76/F75)</f>
        <v>0.1483107919567033</v>
      </c>
      <c r="H77" s="10"/>
      <c r="J77" s="7"/>
      <c r="P77" s="1"/>
      <c r="Q77" s="1"/>
      <c r="R77" s="1"/>
      <c r="S77" s="1"/>
    </row>
    <row r="78" spans="2:19">
      <c r="B78" s="1"/>
      <c r="D78" s="2"/>
      <c r="E78" s="1"/>
      <c r="F78" s="18"/>
      <c r="H78" s="10"/>
      <c r="J78" s="7"/>
      <c r="P78" s="1"/>
      <c r="Q78" s="1"/>
      <c r="R78" s="1"/>
      <c r="S78" s="1"/>
    </row>
    <row r="79" spans="2:19">
      <c r="B79" s="1"/>
      <c r="C79" s="22" t="str">
        <f>"   Net Rev. Req, w / "&amp;F13&amp;" Basis Point ROE increase, less Dep."</f>
        <v xml:space="preserve">   Net Rev. Req, w / 0 Basis Point ROE increase, less Dep.</v>
      </c>
      <c r="D79" s="2"/>
      <c r="E79" s="1"/>
      <c r="F79" s="63">
        <f>F59</f>
        <v>75765748.765280187</v>
      </c>
      <c r="G79" s="101"/>
      <c r="H79" s="10"/>
      <c r="J79" s="7"/>
      <c r="P79" s="1"/>
      <c r="Q79" s="1"/>
      <c r="R79" s="1"/>
      <c r="S79" s="1"/>
    </row>
    <row r="80" spans="2:19">
      <c r="B80" s="1"/>
      <c r="C80" s="22" t="str">
        <f>"   FCR with "&amp;F13&amp;" Basis Point ROE increase, less Depreciation"</f>
        <v xml:space="preserve">   FCR with 0 Basis Point ROE increase, less Depreciation</v>
      </c>
      <c r="D80" s="2"/>
      <c r="E80" s="1"/>
      <c r="F80" s="103">
        <f>IF(F75=0,0,F79/F75)</f>
        <v>0.11522430269379706</v>
      </c>
      <c r="G80" s="103"/>
      <c r="H80" s="10"/>
      <c r="J80" s="7"/>
      <c r="P80" s="1"/>
      <c r="Q80" s="1"/>
      <c r="R80" s="1"/>
      <c r="S80" s="1"/>
    </row>
    <row r="81" spans="2:19">
      <c r="B81" s="1"/>
      <c r="C81" s="11" t="str">
        <f>+S124</f>
        <v xml:space="preserve">   FCR less Depreciation  (TCOS, ln 10)</v>
      </c>
      <c r="D81" s="2"/>
      <c r="E81" s="1"/>
      <c r="F81" s="104">
        <f>+R124</f>
        <v>0.11522430269379706</v>
      </c>
      <c r="H81" s="10"/>
      <c r="J81" s="7"/>
      <c r="P81" s="1"/>
      <c r="Q81" s="1"/>
      <c r="R81" s="1"/>
      <c r="S81" s="1"/>
    </row>
    <row r="82" spans="2:19">
      <c r="B82" s="1"/>
      <c r="C82" s="502" t="str">
        <f>"   Incremental FCR with "&amp;F13&amp;" Basis Point ROE increase, less Depreciation"</f>
        <v xml:space="preserve">   Incremental FCR with 0 Basis Point ROE increase, less Depreciation</v>
      </c>
      <c r="D82" s="503"/>
      <c r="E82" s="503"/>
      <c r="F82" s="103">
        <f>F80-F81</f>
        <v>0</v>
      </c>
      <c r="H82" s="10"/>
      <c r="J82" s="7"/>
      <c r="P82" s="1"/>
      <c r="Q82" s="1"/>
      <c r="R82" s="1"/>
      <c r="S82" s="1"/>
    </row>
    <row r="83" spans="2:19">
      <c r="B83" s="1"/>
      <c r="C83" s="503"/>
      <c r="D83" s="503"/>
      <c r="E83" s="503"/>
      <c r="F83" s="103"/>
      <c r="G83" s="1"/>
      <c r="H83" s="3"/>
      <c r="I83" s="1"/>
      <c r="J83" s="4"/>
      <c r="K83" s="1"/>
      <c r="L83" s="1"/>
      <c r="M83" s="1"/>
      <c r="N83" s="1"/>
      <c r="O83" s="1"/>
      <c r="P83" s="1"/>
      <c r="Q83" s="1"/>
      <c r="R83" s="1"/>
      <c r="S83" s="1"/>
    </row>
    <row r="84" spans="2:19" ht="18.75">
      <c r="B84" s="5" t="s">
        <v>30</v>
      </c>
      <c r="C84" s="71" t="s">
        <v>31</v>
      </c>
      <c r="D84" s="2"/>
      <c r="E84" s="1"/>
      <c r="F84" s="103"/>
      <c r="G84" s="1"/>
      <c r="H84" s="3"/>
      <c r="I84" s="1"/>
      <c r="J84" s="4"/>
      <c r="K84" s="1"/>
      <c r="L84" s="1"/>
      <c r="M84" s="1"/>
      <c r="N84" s="1"/>
      <c r="O84" s="1"/>
      <c r="P84" s="1"/>
      <c r="Q84" s="1"/>
      <c r="R84" s="1"/>
      <c r="S84" s="1"/>
    </row>
    <row r="85" spans="2:19" ht="12.75" customHeight="1">
      <c r="B85" s="5"/>
      <c r="C85" s="71"/>
      <c r="D85" s="2"/>
      <c r="E85" s="1"/>
      <c r="F85" s="103"/>
      <c r="G85" s="1"/>
      <c r="H85" s="3"/>
      <c r="I85" s="1"/>
      <c r="J85" s="4"/>
      <c r="K85" s="1"/>
      <c r="L85" s="1"/>
      <c r="M85" s="1"/>
      <c r="N85" s="1"/>
      <c r="O85" s="1"/>
      <c r="P85" s="1"/>
      <c r="Q85" s="1"/>
      <c r="R85" s="1"/>
      <c r="S85" s="1"/>
    </row>
    <row r="86" spans="2:19" ht="12.75" customHeight="1">
      <c r="B86" s="5"/>
      <c r="C86" s="22" t="s">
        <v>32</v>
      </c>
      <c r="D86" s="2"/>
      <c r="F86" s="97">
        <f>+R125</f>
        <v>907181078.47208798</v>
      </c>
      <c r="G86" s="1" t="s">
        <v>276</v>
      </c>
      <c r="H86" s="3"/>
      <c r="I86" s="1"/>
      <c r="J86" s="4"/>
      <c r="K86" s="1"/>
      <c r="L86" s="1"/>
      <c r="M86" s="1"/>
      <c r="N86" s="1"/>
      <c r="O86" s="1"/>
      <c r="P86" s="1"/>
      <c r="Q86" s="1"/>
      <c r="R86" s="1"/>
      <c r="S86" s="1"/>
    </row>
    <row r="87" spans="2:19" ht="12.75" customHeight="1">
      <c r="B87" s="5"/>
      <c r="C87" s="22" t="s">
        <v>33</v>
      </c>
      <c r="D87" s="2"/>
      <c r="F87" s="106">
        <f>R126</f>
        <v>946288588.49154496</v>
      </c>
      <c r="G87" s="1" t="s">
        <v>276</v>
      </c>
      <c r="H87" s="3"/>
      <c r="I87" s="1"/>
      <c r="J87" s="4"/>
      <c r="K87" s="1"/>
      <c r="L87" s="1"/>
      <c r="M87" s="1"/>
      <c r="N87" s="1"/>
      <c r="O87" s="1"/>
      <c r="P87" s="1"/>
      <c r="Q87" s="1"/>
      <c r="R87" s="1"/>
      <c r="S87" s="1"/>
    </row>
    <row r="88" spans="2:19">
      <c r="B88" s="1"/>
      <c r="C88" s="22"/>
      <c r="D88" s="2"/>
      <c r="F88" s="3">
        <f>+F87+F86</f>
        <v>1853469666.9636331</v>
      </c>
      <c r="G88" s="63"/>
      <c r="H88" s="3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</row>
    <row r="89" spans="2:19">
      <c r="B89" s="1"/>
      <c r="C89" s="22" t="str">
        <f>S127</f>
        <v xml:space="preserve">Transmission Plant Average Balance for 2018 </v>
      </c>
      <c r="D89" s="62"/>
      <c r="E89" s="107"/>
      <c r="F89" s="88">
        <f>+F88/2</f>
        <v>926734833.48181653</v>
      </c>
      <c r="G89" s="108"/>
      <c r="H89" s="3"/>
      <c r="I89" s="1"/>
      <c r="J89" s="4"/>
      <c r="K89" s="1"/>
      <c r="L89" s="1"/>
      <c r="M89" s="1"/>
      <c r="N89" s="1"/>
      <c r="O89" s="1"/>
      <c r="P89" s="1"/>
      <c r="Q89" s="1"/>
      <c r="R89" s="1"/>
      <c r="S89" s="1"/>
    </row>
    <row r="90" spans="2:19">
      <c r="B90" s="1"/>
      <c r="C90" s="11" t="str">
        <f>S128</f>
        <v>Annual Depreciation Expense  (TCOS, ln 84)</v>
      </c>
      <c r="D90" s="62"/>
      <c r="E90" s="18"/>
      <c r="F90" s="88">
        <f>R128</f>
        <v>23388402.214859501</v>
      </c>
      <c r="G90" s="1"/>
      <c r="H90" s="3"/>
      <c r="I90" s="1"/>
      <c r="J90" s="4"/>
      <c r="K90" s="1"/>
      <c r="L90" s="1"/>
      <c r="M90" s="1"/>
      <c r="N90" s="1"/>
      <c r="O90" s="1"/>
      <c r="P90" s="1"/>
      <c r="Q90" s="1"/>
      <c r="R90" s="1"/>
      <c r="S90" s="1"/>
    </row>
    <row r="91" spans="2:19">
      <c r="B91" s="1"/>
      <c r="C91" s="22" t="s">
        <v>34</v>
      </c>
      <c r="D91" s="2"/>
      <c r="E91" s="1"/>
      <c r="F91" s="103">
        <f>IF(F89=0,0,F90/F89)</f>
        <v>2.5237426467490612E-2</v>
      </c>
      <c r="G91" s="1"/>
      <c r="H91" s="109"/>
      <c r="I91" s="1"/>
      <c r="J91" s="4"/>
      <c r="K91" s="1"/>
      <c r="L91" s="1"/>
      <c r="M91" s="1"/>
      <c r="N91" s="1"/>
      <c r="O91" s="1"/>
      <c r="P91" s="1"/>
      <c r="Q91" s="1"/>
      <c r="R91" s="1"/>
      <c r="S91" s="1"/>
    </row>
    <row r="92" spans="2:19">
      <c r="B92" s="1"/>
      <c r="C92" s="22" t="s">
        <v>35</v>
      </c>
      <c r="D92" s="2"/>
      <c r="E92" s="1"/>
      <c r="F92" s="110">
        <f>IF(F91=0,0,1/F91)</f>
        <v>39.623691476155145</v>
      </c>
      <c r="H92" s="3"/>
      <c r="I92" s="1"/>
      <c r="J92" s="4"/>
      <c r="K92" s="1"/>
      <c r="L92" s="1"/>
      <c r="M92" s="1"/>
      <c r="N92" s="1"/>
      <c r="O92" s="1"/>
      <c r="P92" s="1"/>
      <c r="Q92" s="1"/>
      <c r="R92" s="1"/>
      <c r="S92" s="1"/>
    </row>
    <row r="93" spans="2:19">
      <c r="B93" s="1"/>
      <c r="C93" s="22" t="s">
        <v>36</v>
      </c>
      <c r="D93" s="2"/>
      <c r="E93" s="1"/>
      <c r="F93" s="111">
        <f>ROUND(F92,0)</f>
        <v>40</v>
      </c>
      <c r="G93" s="1"/>
      <c r="H93" s="3"/>
      <c r="I93" s="1"/>
      <c r="J93" s="4"/>
      <c r="K93" s="1"/>
      <c r="L93" s="1"/>
      <c r="M93" s="1"/>
      <c r="N93" s="1"/>
      <c r="O93" s="1"/>
      <c r="P93" s="1"/>
      <c r="Q93" s="1"/>
      <c r="R93" s="1"/>
      <c r="S93" s="1"/>
    </row>
    <row r="94" spans="2:19">
      <c r="C94" s="178"/>
      <c r="D94" s="158"/>
      <c r="E94" s="158"/>
      <c r="F94" s="158"/>
      <c r="G94" s="115"/>
      <c r="H94" s="115"/>
      <c r="I94" s="175"/>
      <c r="J94" s="175"/>
      <c r="K94" s="175"/>
      <c r="L94" s="175"/>
      <c r="M94" s="175"/>
      <c r="N94" s="175"/>
      <c r="O94" s="4"/>
      <c r="P94" s="4"/>
      <c r="Q94" s="1"/>
      <c r="R94" s="1"/>
      <c r="S94" s="1"/>
    </row>
    <row r="95" spans="2:19">
      <c r="C95" s="178"/>
      <c r="D95" s="158"/>
      <c r="E95" s="158"/>
      <c r="F95" s="158"/>
      <c r="G95" s="115"/>
      <c r="H95" s="115"/>
      <c r="I95" s="175"/>
      <c r="J95" s="175"/>
      <c r="K95" s="175"/>
      <c r="L95" s="175"/>
      <c r="M95" s="175"/>
      <c r="N95" s="175"/>
      <c r="O95" s="4"/>
      <c r="P95" s="4"/>
      <c r="Q95" s="1"/>
      <c r="R95" s="1"/>
      <c r="S95" s="1"/>
    </row>
    <row r="96" spans="2:19">
      <c r="J96" s="7"/>
      <c r="P96" s="1"/>
      <c r="Q96" s="1"/>
      <c r="R96" s="1"/>
      <c r="S96" s="1"/>
    </row>
    <row r="97" spans="3:19">
      <c r="J97" s="7"/>
      <c r="P97" s="1"/>
      <c r="Q97" s="1"/>
      <c r="R97" s="233" t="s">
        <v>121</v>
      </c>
      <c r="S97" t="s">
        <v>122</v>
      </c>
    </row>
    <row r="98" spans="3:19">
      <c r="J98" s="7"/>
      <c r="P98" s="1"/>
      <c r="Q98" s="1"/>
    </row>
    <row r="99" spans="3:19">
      <c r="C99" s="240" t="s">
        <v>117</v>
      </c>
      <c r="J99" s="7"/>
      <c r="L99" s="240" t="s">
        <v>116</v>
      </c>
      <c r="P99" s="1"/>
      <c r="Q99" s="1"/>
    </row>
    <row r="100" spans="3:19">
      <c r="J100" s="7"/>
      <c r="P100" s="1"/>
      <c r="Q100" s="1"/>
      <c r="S100" s="232" t="s">
        <v>114</v>
      </c>
    </row>
    <row r="101" spans="3:19">
      <c r="J101" s="7"/>
      <c r="P101" s="1"/>
      <c r="Q101" s="1"/>
      <c r="R101" s="233" t="s">
        <v>110</v>
      </c>
      <c r="S101" s="236" t="s">
        <v>115</v>
      </c>
    </row>
    <row r="102" spans="3:19" ht="13.5" thickBot="1">
      <c r="J102" s="7"/>
      <c r="P102" s="1"/>
      <c r="Q102" s="1"/>
      <c r="R102" s="235" t="s">
        <v>137</v>
      </c>
    </row>
    <row r="103" spans="3:19">
      <c r="J103" s="7"/>
      <c r="P103" s="1"/>
      <c r="Q103" s="1"/>
      <c r="R103" s="461" t="s">
        <v>139</v>
      </c>
      <c r="S103" s="462" t="s">
        <v>138</v>
      </c>
    </row>
    <row r="104" spans="3:19">
      <c r="J104" s="7"/>
      <c r="P104" s="1"/>
      <c r="Q104" s="1"/>
      <c r="R104" s="404">
        <v>2019</v>
      </c>
      <c r="S104" s="470" t="s">
        <v>315</v>
      </c>
    </row>
    <row r="105" spans="3:19">
      <c r="J105" s="7"/>
      <c r="P105" s="1"/>
      <c r="Q105" s="1"/>
      <c r="R105" s="465">
        <v>0.112</v>
      </c>
      <c r="S105" s="18" t="s">
        <v>316</v>
      </c>
    </row>
    <row r="106" spans="3:19">
      <c r="J106" s="7"/>
      <c r="P106" s="1"/>
      <c r="Q106" s="1"/>
      <c r="R106" s="487">
        <v>0</v>
      </c>
      <c r="S106" s="470" t="s">
        <v>1</v>
      </c>
    </row>
    <row r="107" spans="3:19">
      <c r="J107" s="7"/>
      <c r="P107" s="1"/>
      <c r="Q107" s="1"/>
      <c r="R107" s="488">
        <v>0.51000680151348399</v>
      </c>
      <c r="S107" s="471" t="s">
        <v>104</v>
      </c>
    </row>
    <row r="108" spans="3:19">
      <c r="J108" s="7"/>
      <c r="P108" s="1"/>
      <c r="Q108" s="1"/>
      <c r="R108" s="488">
        <v>5.1744163244506244E-2</v>
      </c>
      <c r="S108" s="471" t="s">
        <v>105</v>
      </c>
    </row>
    <row r="109" spans="3:19">
      <c r="J109" s="7"/>
      <c r="P109" s="1"/>
      <c r="Q109" s="1"/>
      <c r="R109" s="488">
        <v>0</v>
      </c>
      <c r="S109" s="471" t="s">
        <v>106</v>
      </c>
    </row>
    <row r="110" spans="3:19">
      <c r="J110" s="7"/>
      <c r="P110" s="1"/>
      <c r="Q110" s="1"/>
      <c r="R110" s="488">
        <v>0</v>
      </c>
      <c r="S110" s="471" t="s">
        <v>107</v>
      </c>
    </row>
    <row r="111" spans="3:19">
      <c r="J111" s="7"/>
      <c r="P111" s="1"/>
      <c r="Q111" s="1"/>
      <c r="R111" s="488">
        <v>0.48999319848651607</v>
      </c>
      <c r="S111" s="472" t="s">
        <v>108</v>
      </c>
    </row>
    <row r="112" spans="3:19">
      <c r="J112" s="7"/>
      <c r="P112" s="1"/>
      <c r="Q112" s="1"/>
      <c r="R112" s="473">
        <v>496666734.30559325</v>
      </c>
      <c r="S112" s="474" t="s">
        <v>317</v>
      </c>
    </row>
    <row r="113" spans="3:19">
      <c r="J113" s="7"/>
      <c r="P113" s="1"/>
      <c r="Q113" s="1"/>
      <c r="R113" s="475">
        <v>0.2533709999999999</v>
      </c>
      <c r="S113" s="470" t="s">
        <v>318</v>
      </c>
    </row>
    <row r="114" spans="3:19">
      <c r="J114" s="7"/>
      <c r="P114" s="1"/>
      <c r="Q114" s="1"/>
      <c r="R114" s="476">
        <v>-393625.88846337283</v>
      </c>
      <c r="S114" s="470" t="s">
        <v>319</v>
      </c>
    </row>
    <row r="115" spans="3:19">
      <c r="J115" s="7"/>
      <c r="P115" s="1"/>
      <c r="Q115" s="1"/>
      <c r="R115" s="476">
        <v>-2558969.7158829882</v>
      </c>
      <c r="S115" s="470" t="s">
        <v>320</v>
      </c>
    </row>
    <row r="116" spans="3:19">
      <c r="J116" s="7"/>
      <c r="P116" s="1"/>
      <c r="Q116" s="1"/>
      <c r="R116" s="476">
        <v>81004.086366856878</v>
      </c>
      <c r="S116" s="470" t="s">
        <v>321</v>
      </c>
    </row>
    <row r="117" spans="3:19">
      <c r="J117" s="7"/>
      <c r="P117" s="1"/>
      <c r="Q117" s="1"/>
      <c r="R117" s="476">
        <v>97521772.229186505</v>
      </c>
      <c r="S117" s="470" t="s">
        <v>322</v>
      </c>
    </row>
    <row r="118" spans="3:19">
      <c r="J118" s="7"/>
      <c r="P118" s="1"/>
      <c r="Q118" s="1"/>
      <c r="R118" s="476">
        <v>40363665.164115556</v>
      </c>
      <c r="S118" s="470" t="s">
        <v>323</v>
      </c>
    </row>
    <row r="119" spans="3:19">
      <c r="C119" s="1"/>
      <c r="D119" s="2"/>
      <c r="E119" s="1"/>
      <c r="F119" s="1"/>
      <c r="G119" s="1"/>
      <c r="H119" s="3"/>
      <c r="I119" s="1"/>
      <c r="J119" s="4"/>
      <c r="K119" s="1"/>
      <c r="L119" s="1"/>
      <c r="M119" s="1"/>
      <c r="N119" s="1"/>
      <c r="O119" s="1"/>
      <c r="P119" s="1"/>
      <c r="Q119" s="1"/>
      <c r="R119" s="476">
        <v>6378056.3220088147</v>
      </c>
      <c r="S119" s="470" t="s">
        <v>324</v>
      </c>
    </row>
    <row r="120" spans="3:19">
      <c r="C120" s="1"/>
      <c r="D120" s="2"/>
      <c r="E120" s="1"/>
      <c r="F120" s="1"/>
      <c r="G120" s="1"/>
      <c r="H120" s="3"/>
      <c r="I120" s="1"/>
      <c r="J120" s="4"/>
      <c r="K120" s="1"/>
      <c r="L120" s="1"/>
      <c r="M120" s="1"/>
      <c r="N120" s="1"/>
      <c r="O120" s="1"/>
      <c r="P120" s="1"/>
      <c r="Q120" s="1"/>
      <c r="R120" s="476">
        <v>0</v>
      </c>
      <c r="S120" s="470" t="s">
        <v>325</v>
      </c>
    </row>
    <row r="121" spans="3:19">
      <c r="C121" s="1"/>
      <c r="D121" s="2"/>
      <c r="E121" s="1"/>
      <c r="F121" s="1"/>
      <c r="G121" s="1"/>
      <c r="H121" s="3"/>
      <c r="I121" s="1"/>
      <c r="J121" s="4"/>
      <c r="K121" s="1"/>
      <c r="L121" s="1"/>
      <c r="M121" s="1"/>
      <c r="N121" s="1"/>
      <c r="O121" s="1"/>
      <c r="P121" s="1"/>
      <c r="Q121" s="1"/>
      <c r="R121" s="476">
        <v>21756023.463906325</v>
      </c>
      <c r="S121" s="470" t="s">
        <v>326</v>
      </c>
    </row>
    <row r="122" spans="3:19">
      <c r="C122" s="1"/>
      <c r="D122" s="2"/>
      <c r="E122" s="1"/>
      <c r="F122" s="1"/>
      <c r="G122" s="1"/>
      <c r="H122" s="3"/>
      <c r="I122" s="1"/>
      <c r="J122" s="4"/>
      <c r="K122" s="1"/>
      <c r="L122" s="1"/>
      <c r="M122" s="1"/>
      <c r="N122" s="1"/>
      <c r="O122" s="1"/>
      <c r="P122" s="1"/>
      <c r="Q122" s="1"/>
      <c r="R122" s="475">
        <v>0</v>
      </c>
      <c r="S122" s="470" t="s">
        <v>113</v>
      </c>
    </row>
    <row r="123" spans="3:19">
      <c r="C123" s="1"/>
      <c r="D123" s="2"/>
      <c r="E123" s="1"/>
      <c r="F123" s="1"/>
      <c r="G123" s="1"/>
      <c r="H123" s="3"/>
      <c r="I123" s="1"/>
      <c r="J123" s="4"/>
      <c r="K123" s="1"/>
      <c r="L123" s="1"/>
      <c r="M123" s="1"/>
      <c r="N123" s="1"/>
      <c r="O123" s="1"/>
      <c r="P123" s="1"/>
      <c r="Q123" s="1"/>
      <c r="R123" s="476">
        <v>657550074.02061653</v>
      </c>
      <c r="S123" s="470" t="s">
        <v>327</v>
      </c>
    </row>
    <row r="124" spans="3:19">
      <c r="C124" s="1"/>
      <c r="D124" s="2"/>
      <c r="E124" s="1"/>
      <c r="F124" s="1"/>
      <c r="G124" s="1"/>
      <c r="H124" s="3"/>
      <c r="I124" s="1"/>
      <c r="J124" s="4"/>
      <c r="K124" s="1"/>
      <c r="L124" s="1"/>
      <c r="M124" s="1"/>
      <c r="N124" s="1"/>
      <c r="O124" s="1"/>
      <c r="P124" s="1"/>
      <c r="Q124" s="1"/>
      <c r="R124" s="477">
        <v>0.11522430269379706</v>
      </c>
      <c r="S124" s="478" t="s">
        <v>328</v>
      </c>
    </row>
    <row r="125" spans="3:19">
      <c r="C125" s="1"/>
      <c r="D125" s="2"/>
      <c r="E125" s="1"/>
      <c r="F125" s="1"/>
      <c r="G125" s="1"/>
      <c r="H125" s="3"/>
      <c r="I125" s="1"/>
      <c r="J125" s="4"/>
      <c r="K125" s="1"/>
      <c r="L125" s="1"/>
      <c r="M125" s="1"/>
      <c r="N125" s="1"/>
      <c r="O125" s="1"/>
      <c r="P125" s="1"/>
      <c r="Q125" s="1"/>
      <c r="R125" s="479">
        <v>907181078.47208798</v>
      </c>
      <c r="S125" s="471" t="s">
        <v>329</v>
      </c>
    </row>
    <row r="126" spans="3:19">
      <c r="C126" s="1"/>
      <c r="D126" s="2"/>
      <c r="E126" s="1"/>
      <c r="F126" s="1"/>
      <c r="G126" s="1"/>
      <c r="H126" s="3"/>
      <c r="I126" s="1"/>
      <c r="J126" s="4"/>
      <c r="K126" s="1"/>
      <c r="L126" s="1"/>
      <c r="M126" s="1"/>
      <c r="N126" s="1"/>
      <c r="O126" s="1"/>
      <c r="P126" s="1"/>
      <c r="Q126" s="1"/>
      <c r="R126" s="479">
        <v>946288588.49154496</v>
      </c>
      <c r="S126" s="472" t="s">
        <v>330</v>
      </c>
    </row>
    <row r="127" spans="3:19">
      <c r="C127" s="1"/>
      <c r="D127" s="2"/>
      <c r="E127" s="1"/>
      <c r="F127" s="1"/>
      <c r="G127" s="1"/>
      <c r="H127" s="3"/>
      <c r="I127" s="1"/>
      <c r="J127" s="4"/>
      <c r="K127" s="1"/>
      <c r="L127" s="1"/>
      <c r="M127" s="1"/>
      <c r="N127" s="1"/>
      <c r="O127" s="1"/>
      <c r="P127" s="1"/>
      <c r="Q127" s="1"/>
      <c r="R127" s="479">
        <v>926734833.48181653</v>
      </c>
      <c r="S127" s="480" t="s">
        <v>331</v>
      </c>
    </row>
    <row r="128" spans="3:19" ht="13.5" thickBot="1">
      <c r="C128" s="1"/>
      <c r="D128" s="2"/>
      <c r="E128" s="1"/>
      <c r="F128" s="1"/>
      <c r="G128" s="1"/>
      <c r="H128" s="3"/>
      <c r="I128" s="1"/>
      <c r="J128" s="4"/>
      <c r="K128" s="1"/>
      <c r="L128" s="1"/>
      <c r="M128" s="1"/>
      <c r="N128" s="1"/>
      <c r="O128" s="1"/>
      <c r="P128" s="1"/>
      <c r="Q128" s="1"/>
      <c r="R128" s="484">
        <v>23388402.214859501</v>
      </c>
      <c r="S128" s="481" t="s">
        <v>332</v>
      </c>
    </row>
    <row r="129" spans="3:19">
      <c r="C129" s="1"/>
      <c r="D129" s="2"/>
      <c r="E129" s="1"/>
      <c r="F129" s="1"/>
      <c r="G129" s="1"/>
      <c r="H129" s="3"/>
      <c r="I129" s="1"/>
      <c r="J129" s="4"/>
      <c r="K129" s="1"/>
      <c r="L129" s="1"/>
      <c r="M129" s="1"/>
      <c r="N129" s="1"/>
      <c r="O129" s="1"/>
      <c r="P129" s="1"/>
      <c r="Q129" s="1"/>
      <c r="R129" s="1"/>
      <c r="S129" s="1"/>
    </row>
    <row r="130" spans="3:19">
      <c r="C130" s="1"/>
      <c r="D130" s="2"/>
      <c r="E130" s="1"/>
      <c r="F130" s="1"/>
      <c r="G130" s="1"/>
      <c r="H130" s="3"/>
      <c r="I130" s="1"/>
      <c r="J130" s="4"/>
      <c r="K130" s="1"/>
      <c r="L130" s="1"/>
      <c r="M130" s="1"/>
      <c r="N130" s="1"/>
      <c r="O130" s="1"/>
      <c r="P130" s="1"/>
      <c r="Q130" s="1"/>
      <c r="R130" s="233" t="s">
        <v>111</v>
      </c>
      <c r="S130" s="1" t="s">
        <v>125</v>
      </c>
    </row>
    <row r="131" spans="3:19" ht="13.5" thickBot="1">
      <c r="C131" s="1"/>
      <c r="D131" s="2"/>
      <c r="E131" s="1"/>
      <c r="F131" s="1"/>
      <c r="G131" s="1"/>
      <c r="H131" s="3"/>
      <c r="I131" s="1"/>
      <c r="J131" s="4"/>
      <c r="K131" s="1"/>
      <c r="L131" s="1"/>
      <c r="M131" s="1"/>
      <c r="N131" s="1"/>
      <c r="O131" s="1"/>
      <c r="P131" s="1"/>
      <c r="Q131" s="1"/>
      <c r="R131" s="235" t="s">
        <v>109</v>
      </c>
      <c r="S131" s="1"/>
    </row>
    <row r="132" spans="3:19">
      <c r="C132" s="1"/>
      <c r="D132" s="2"/>
      <c r="E132" s="1"/>
      <c r="F132" s="1"/>
      <c r="G132" s="1"/>
      <c r="H132" s="3"/>
      <c r="I132" s="1"/>
      <c r="J132" s="4"/>
      <c r="K132" s="1"/>
      <c r="L132" s="1"/>
      <c r="M132" s="1"/>
      <c r="N132" s="1"/>
      <c r="O132" s="1"/>
      <c r="P132" s="1"/>
      <c r="Q132" s="1"/>
      <c r="R132" s="237">
        <f>+M19</f>
        <v>7470466.2267492693</v>
      </c>
      <c r="S132" s="1" t="str">
        <f>+K19&amp;" "&amp;M17</f>
        <v>PROJECTED YEAR Rev Require</v>
      </c>
    </row>
    <row r="133" spans="3:19">
      <c r="C133" s="22"/>
      <c r="D133" s="86"/>
      <c r="E133" s="22"/>
      <c r="F133" s="22"/>
      <c r="G133" s="22"/>
      <c r="H133" s="88"/>
      <c r="I133" s="1"/>
      <c r="J133" s="4"/>
      <c r="K133" s="1"/>
      <c r="L133" s="1"/>
      <c r="M133" s="1"/>
      <c r="N133" s="1"/>
      <c r="O133" s="1"/>
      <c r="P133" s="1"/>
      <c r="Q133" s="1"/>
      <c r="R133" s="238">
        <f>+N19</f>
        <v>7470466.2267492693</v>
      </c>
      <c r="S133" s="1" t="str">
        <f>K19&amp;" "&amp;N17</f>
        <v>PROJECTED YEAR  W Incentives</v>
      </c>
    </row>
    <row r="134" spans="3:19" ht="13.5" thickBot="1">
      <c r="C134" s="22"/>
      <c r="D134" s="86"/>
      <c r="E134" s="22"/>
      <c r="F134" s="22"/>
      <c r="G134" s="22"/>
      <c r="H134" s="88"/>
      <c r="I134" s="1"/>
      <c r="J134" s="4"/>
      <c r="K134" s="1"/>
      <c r="L134" s="1"/>
      <c r="M134" s="1"/>
      <c r="N134" s="1"/>
      <c r="O134" s="1"/>
      <c r="P134" s="1"/>
      <c r="Q134" s="1"/>
      <c r="R134" s="239">
        <f>+O19</f>
        <v>0</v>
      </c>
      <c r="S134" s="1" t="str">
        <f>K19&amp;" "&amp;O17</f>
        <v>PROJECTED YEAR Incentive Amounts</v>
      </c>
    </row>
    <row r="135" spans="3:19">
      <c r="C135" s="22"/>
      <c r="D135" s="86"/>
      <c r="E135" s="22"/>
      <c r="F135" s="22"/>
      <c r="G135" s="22"/>
      <c r="H135" s="88"/>
      <c r="I135" s="1"/>
      <c r="J135" s="4"/>
      <c r="K135" s="1"/>
      <c r="L135" s="1"/>
      <c r="M135" s="1"/>
      <c r="N135" s="1"/>
      <c r="O135" s="1"/>
      <c r="P135" s="1"/>
      <c r="Q135" s="1"/>
      <c r="R135" s="1"/>
      <c r="S135" s="1"/>
    </row>
    <row r="136" spans="3:19">
      <c r="C136" s="22"/>
      <c r="D136" s="86"/>
      <c r="E136" s="22"/>
      <c r="F136" s="22"/>
      <c r="G136" s="22"/>
      <c r="H136" s="88"/>
      <c r="I136" s="1"/>
      <c r="J136" s="4"/>
      <c r="K136" s="1"/>
      <c r="L136" s="1"/>
      <c r="M136" s="1"/>
      <c r="N136" s="1"/>
      <c r="O136" s="1"/>
      <c r="P136" s="1"/>
      <c r="Q136" s="1"/>
      <c r="R136" s="1"/>
      <c r="S136" s="1"/>
    </row>
    <row r="137" spans="3:19">
      <c r="C137" s="22"/>
      <c r="D137" s="86"/>
      <c r="E137" s="22"/>
      <c r="F137" s="22"/>
      <c r="G137" s="22"/>
      <c r="H137" s="88"/>
      <c r="I137" s="1"/>
      <c r="J137" s="4"/>
      <c r="K137" s="1"/>
      <c r="L137" s="1"/>
      <c r="M137" s="1"/>
      <c r="N137" s="1"/>
      <c r="O137" s="1"/>
      <c r="P137" s="1"/>
      <c r="Q137" s="1"/>
      <c r="R137" s="233" t="s">
        <v>123</v>
      </c>
      <c r="S137" s="232" t="s">
        <v>124</v>
      </c>
    </row>
  </sheetData>
  <mergeCells count="8">
    <mergeCell ref="K15:O16"/>
    <mergeCell ref="C8:H8"/>
    <mergeCell ref="C82:E83"/>
    <mergeCell ref="A1:J1"/>
    <mergeCell ref="A2:J2"/>
    <mergeCell ref="A3:J3"/>
    <mergeCell ref="A5:J5"/>
    <mergeCell ref="A4:J4"/>
  </mergeCells>
  <phoneticPr fontId="0" type="noConversion"/>
  <printOptions horizontalCentered="1"/>
  <pageMargins left="0.25" right="0.25" top="0.75" bottom="0.25" header="0.25" footer="0.5"/>
  <pageSetup scale="41" fitToHeight="2" orientation="landscape" r:id="rId1"/>
  <headerFooter alignWithMargins="0">
    <oddHeader xml:space="preserve">&amp;R&amp;16AEP - SPP Formula Rate
PSO TCOS - WS F
Page: &amp;P of &amp;N
</oddHeader>
    <oddFooter xml:space="preserve">&amp;C &amp;R 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P162"/>
  <sheetViews>
    <sheetView view="pageBreakPreview" zoomScale="80" zoomScaleNormal="100" zoomScaleSheetLayoutView="8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17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222315.32764746679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222315.32764746679</v>
      </c>
      <c r="O6" s="1"/>
      <c r="P6" s="1"/>
    </row>
    <row r="7" spans="1:16" ht="13.5" thickBot="1">
      <c r="C7" s="127" t="s">
        <v>41</v>
      </c>
      <c r="D7" s="426" t="s">
        <v>256</v>
      </c>
      <c r="E7" s="406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255</v>
      </c>
      <c r="E9" s="428" t="s">
        <v>345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1692023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2015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42300.574999999997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0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2015</v>
      </c>
      <c r="D17" s="436">
        <v>1500000</v>
      </c>
      <c r="E17" s="441">
        <v>0</v>
      </c>
      <c r="F17" s="436">
        <v>1500000</v>
      </c>
      <c r="G17" s="441">
        <v>206807.48514960654</v>
      </c>
      <c r="H17" s="439">
        <v>206807.48514960654</v>
      </c>
      <c r="I17" s="160">
        <v>0</v>
      </c>
      <c r="J17" s="160"/>
      <c r="K17" s="338">
        <f>G17</f>
        <v>206807.48514960654</v>
      </c>
      <c r="L17" s="440">
        <f>IF(K17&lt;&gt;0,+G17-K17,0)</f>
        <v>0</v>
      </c>
      <c r="M17" s="338">
        <f>H17</f>
        <v>206807.48514960654</v>
      </c>
      <c r="N17" s="162">
        <f>IF(M17&lt;&gt;0,+H17-M17,0)</f>
        <v>0</v>
      </c>
      <c r="O17" s="160">
        <f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2016</v>
      </c>
      <c r="D18" s="436">
        <v>1777912</v>
      </c>
      <c r="E18" s="437">
        <v>34190.615384615383</v>
      </c>
      <c r="F18" s="436">
        <v>1743721.3846153845</v>
      </c>
      <c r="G18" s="437">
        <v>262896.61538461538</v>
      </c>
      <c r="H18" s="439">
        <v>262896.61538461538</v>
      </c>
      <c r="I18" s="160">
        <f>H18-G18</f>
        <v>0</v>
      </c>
      <c r="J18" s="160"/>
      <c r="K18" s="338">
        <f>G18</f>
        <v>262896.61538461538</v>
      </c>
      <c r="L18" s="440">
        <f>IF(K18&lt;&gt;0,+G18-K18,0)</f>
        <v>0</v>
      </c>
      <c r="M18" s="338">
        <f>H18</f>
        <v>262896.61538461538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2017</v>
      </c>
      <c r="D19" s="436">
        <v>1657832.3846153845</v>
      </c>
      <c r="E19" s="437">
        <v>36783.108695652176</v>
      </c>
      <c r="F19" s="436">
        <v>1621049.2759197324</v>
      </c>
      <c r="G19" s="437">
        <v>243079.10869565216</v>
      </c>
      <c r="H19" s="439">
        <v>243079.10869565216</v>
      </c>
      <c r="I19" s="160">
        <v>0</v>
      </c>
      <c r="J19" s="160"/>
      <c r="K19" s="338">
        <f>G19</f>
        <v>243079.10869565216</v>
      </c>
      <c r="L19" s="440">
        <f>IF(K19&lt;&gt;0,+G19-K19,0)</f>
        <v>0</v>
      </c>
      <c r="M19" s="338">
        <f>H19</f>
        <v>243079.10869565216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0">IF(D20=F19,"","IU")</f>
        <v/>
      </c>
      <c r="C20" s="157">
        <f>IF(D11="","-",+C19+1)</f>
        <v>2018</v>
      </c>
      <c r="D20" s="436">
        <v>1621049.2759197324</v>
      </c>
      <c r="E20" s="437">
        <v>37600.511111111111</v>
      </c>
      <c r="F20" s="436">
        <v>1583448.7648086213</v>
      </c>
      <c r="G20" s="437">
        <v>229484.15653998824</v>
      </c>
      <c r="H20" s="439">
        <v>229484.15653998824</v>
      </c>
      <c r="I20" s="160">
        <f t="shared" ref="I20:I72" si="1">H20-G20</f>
        <v>0</v>
      </c>
      <c r="J20" s="160"/>
      <c r="K20" s="338">
        <f>G20</f>
        <v>229484.15653998824</v>
      </c>
      <c r="L20" s="440">
        <f>IF(K20&lt;&gt;0,+G20-K20,0)</f>
        <v>0</v>
      </c>
      <c r="M20" s="338">
        <f>H20</f>
        <v>229484.15653998824</v>
      </c>
      <c r="N20" s="162">
        <f>IF(M20&lt;&gt;0,+H20-M20,0)</f>
        <v>0</v>
      </c>
      <c r="O20" s="160">
        <f>+N20-L20</f>
        <v>0</v>
      </c>
      <c r="P20" s="4"/>
    </row>
    <row r="21" spans="2:16">
      <c r="B21" s="9" t="str">
        <f t="shared" si="0"/>
        <v/>
      </c>
      <c r="C21" s="157">
        <f>IF(D11="","-",+C20+1)</f>
        <v>2019</v>
      </c>
      <c r="D21" s="433">
        <f>IF(F20+SUM(E$17:E20)=D$10,F20,D$10-SUM(E$17:E20))</f>
        <v>1583448.7648086213</v>
      </c>
      <c r="E21" s="164">
        <f t="shared" ref="E21:E72" si="2">IF(+$I$14&lt;F20,$I$14,D21)</f>
        <v>42300.574999999997</v>
      </c>
      <c r="F21" s="203">
        <f t="shared" ref="F21:F72" si="3">+D21-E21</f>
        <v>1541148.1898086213</v>
      </c>
      <c r="G21" s="164">
        <f t="shared" ref="G21:G72" si="4">(D21+F21)/2*I$12+E21</f>
        <v>222315.32764746679</v>
      </c>
      <c r="H21" s="147">
        <f t="shared" ref="H21:H72" si="5">+(D21+F21)/2*I$13+E21</f>
        <v>222315.32764746679</v>
      </c>
      <c r="I21" s="160">
        <f t="shared" si="1"/>
        <v>0</v>
      </c>
      <c r="J21" s="160"/>
      <c r="K21" s="335"/>
      <c r="L21" s="162">
        <f t="shared" ref="L21:L72" si="6">IF(K21&lt;&gt;0,+G21-K21,0)</f>
        <v>0</v>
      </c>
      <c r="M21" s="335"/>
      <c r="N21" s="162">
        <f t="shared" ref="N21:N72" si="7">IF(M21&lt;&gt;0,+H21-M21,0)</f>
        <v>0</v>
      </c>
      <c r="O21" s="162">
        <f t="shared" ref="O21:O72" si="8">+N21-L21</f>
        <v>0</v>
      </c>
      <c r="P21" s="4"/>
    </row>
    <row r="22" spans="2:16">
      <c r="B22" s="9" t="str">
        <f t="shared" si="0"/>
        <v/>
      </c>
      <c r="C22" s="157">
        <f>IF(D11="","-",+C21+1)</f>
        <v>2020</v>
      </c>
      <c r="D22" s="433">
        <f>IF(F21+SUM(E$17:E21)=D$10,F21,D$10-SUM(E$17:E21))</f>
        <v>1541148.1898086213</v>
      </c>
      <c r="E22" s="164">
        <f t="shared" si="2"/>
        <v>42300.574999999997</v>
      </c>
      <c r="F22" s="203">
        <f t="shared" si="3"/>
        <v>1498847.6148086214</v>
      </c>
      <c r="G22" s="164">
        <f t="shared" si="4"/>
        <v>217441.27338954515</v>
      </c>
      <c r="H22" s="147">
        <f t="shared" si="5"/>
        <v>217441.27338954515</v>
      </c>
      <c r="I22" s="160">
        <f t="shared" si="1"/>
        <v>0</v>
      </c>
      <c r="J22" s="160"/>
      <c r="K22" s="335"/>
      <c r="L22" s="162">
        <f t="shared" si="6"/>
        <v>0</v>
      </c>
      <c r="M22" s="335"/>
      <c r="N22" s="162">
        <f t="shared" si="7"/>
        <v>0</v>
      </c>
      <c r="O22" s="162">
        <f t="shared" si="8"/>
        <v>0</v>
      </c>
      <c r="P22" s="4"/>
    </row>
    <row r="23" spans="2:16">
      <c r="B23" s="9" t="str">
        <f t="shared" si="0"/>
        <v/>
      </c>
      <c r="C23" s="157">
        <f>IF(D11="","-",+C22+1)</f>
        <v>2021</v>
      </c>
      <c r="D23" s="433">
        <f>IF(F22+SUM(E$17:E22)=D$10,F22,D$10-SUM(E$17:E22))</f>
        <v>1498847.6148086214</v>
      </c>
      <c r="E23" s="164">
        <f t="shared" si="2"/>
        <v>42300.574999999997</v>
      </c>
      <c r="F23" s="203">
        <f t="shared" si="3"/>
        <v>1456547.0398086214</v>
      </c>
      <c r="G23" s="164">
        <f t="shared" si="4"/>
        <v>212567.21913162351</v>
      </c>
      <c r="H23" s="147">
        <f t="shared" si="5"/>
        <v>212567.21913162351</v>
      </c>
      <c r="I23" s="160">
        <f t="shared" si="1"/>
        <v>0</v>
      </c>
      <c r="J23" s="160"/>
      <c r="K23" s="335"/>
      <c r="L23" s="162">
        <f t="shared" si="6"/>
        <v>0</v>
      </c>
      <c r="M23" s="335"/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0"/>
        <v/>
      </c>
      <c r="C24" s="157">
        <f>IF(D11="","-",+C23+1)</f>
        <v>2022</v>
      </c>
      <c r="D24" s="433">
        <f>IF(F23+SUM(E$17:E23)=D$10,F23,D$10-SUM(E$17:E23))</f>
        <v>1456547.0398086214</v>
      </c>
      <c r="E24" s="164">
        <f t="shared" si="2"/>
        <v>42300.574999999997</v>
      </c>
      <c r="F24" s="203">
        <f t="shared" si="3"/>
        <v>1414246.4648086214</v>
      </c>
      <c r="G24" s="164">
        <f t="shared" si="4"/>
        <v>207693.16487370187</v>
      </c>
      <c r="H24" s="147">
        <f t="shared" si="5"/>
        <v>207693.16487370187</v>
      </c>
      <c r="I24" s="160">
        <f t="shared" si="1"/>
        <v>0</v>
      </c>
      <c r="J24" s="160"/>
      <c r="K24" s="335"/>
      <c r="L24" s="162">
        <f t="shared" si="6"/>
        <v>0</v>
      </c>
      <c r="M24" s="335"/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0"/>
        <v/>
      </c>
      <c r="C25" s="157">
        <f>IF(D11="","-",+C24+1)</f>
        <v>2023</v>
      </c>
      <c r="D25" s="433">
        <f>IF(F24+SUM(E$17:E24)=D$10,F24,D$10-SUM(E$17:E24))</f>
        <v>1414246.4648086214</v>
      </c>
      <c r="E25" s="164">
        <f t="shared" si="2"/>
        <v>42300.574999999997</v>
      </c>
      <c r="F25" s="203">
        <f t="shared" si="3"/>
        <v>1371945.8898086215</v>
      </c>
      <c r="G25" s="164">
        <f t="shared" si="4"/>
        <v>202819.11061578017</v>
      </c>
      <c r="H25" s="147">
        <f t="shared" si="5"/>
        <v>202819.11061578017</v>
      </c>
      <c r="I25" s="160">
        <f t="shared" si="1"/>
        <v>0</v>
      </c>
      <c r="J25" s="160"/>
      <c r="K25" s="335"/>
      <c r="L25" s="162">
        <f t="shared" si="6"/>
        <v>0</v>
      </c>
      <c r="M25" s="335"/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0"/>
        <v/>
      </c>
      <c r="C26" s="157">
        <f>IF(D11="","-",+C25+1)</f>
        <v>2024</v>
      </c>
      <c r="D26" s="433">
        <f>IF(F25+SUM(E$17:E25)=D$10,F25,D$10-SUM(E$17:E25))</f>
        <v>1371945.8898086215</v>
      </c>
      <c r="E26" s="164">
        <f t="shared" si="2"/>
        <v>42300.574999999997</v>
      </c>
      <c r="F26" s="203">
        <f t="shared" si="3"/>
        <v>1329645.3148086215</v>
      </c>
      <c r="G26" s="164">
        <f t="shared" si="4"/>
        <v>197945.05635785853</v>
      </c>
      <c r="H26" s="147">
        <f t="shared" si="5"/>
        <v>197945.05635785853</v>
      </c>
      <c r="I26" s="160">
        <f t="shared" si="1"/>
        <v>0</v>
      </c>
      <c r="J26" s="160"/>
      <c r="K26" s="335"/>
      <c r="L26" s="162">
        <f t="shared" si="6"/>
        <v>0</v>
      </c>
      <c r="M26" s="335"/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0"/>
        <v/>
      </c>
      <c r="C27" s="157">
        <f>IF(D11="","-",+C26+1)</f>
        <v>2025</v>
      </c>
      <c r="D27" s="433">
        <f>IF(F26+SUM(E$17:E26)=D$10,F26,D$10-SUM(E$17:E26))</f>
        <v>1329645.3148086215</v>
      </c>
      <c r="E27" s="164">
        <f t="shared" si="2"/>
        <v>42300.574999999997</v>
      </c>
      <c r="F27" s="203">
        <f t="shared" si="3"/>
        <v>1287344.7398086216</v>
      </c>
      <c r="G27" s="164">
        <f t="shared" si="4"/>
        <v>193071.00209993683</v>
      </c>
      <c r="H27" s="147">
        <f t="shared" si="5"/>
        <v>193071.00209993683</v>
      </c>
      <c r="I27" s="160">
        <f t="shared" si="1"/>
        <v>0</v>
      </c>
      <c r="J27" s="160"/>
      <c r="K27" s="335"/>
      <c r="L27" s="162">
        <f t="shared" si="6"/>
        <v>0</v>
      </c>
      <c r="M27" s="335"/>
      <c r="N27" s="162">
        <f t="shared" si="7"/>
        <v>0</v>
      </c>
      <c r="O27" s="162">
        <f t="shared" si="8"/>
        <v>0</v>
      </c>
      <c r="P27" s="4"/>
    </row>
    <row r="28" spans="2:16">
      <c r="B28" s="9" t="str">
        <f t="shared" si="0"/>
        <v/>
      </c>
      <c r="C28" s="157">
        <f>IF(D11="","-",+C27+1)</f>
        <v>2026</v>
      </c>
      <c r="D28" s="433">
        <f>IF(F27+SUM(E$17:E27)=D$10,F27,D$10-SUM(E$17:E27))</f>
        <v>1287344.7398086216</v>
      </c>
      <c r="E28" s="164">
        <f t="shared" si="2"/>
        <v>42300.574999999997</v>
      </c>
      <c r="F28" s="203">
        <f t="shared" si="3"/>
        <v>1245044.1648086216</v>
      </c>
      <c r="G28" s="164">
        <f t="shared" si="4"/>
        <v>188196.94784201519</v>
      </c>
      <c r="H28" s="147">
        <f t="shared" si="5"/>
        <v>188196.94784201519</v>
      </c>
      <c r="I28" s="160">
        <f t="shared" si="1"/>
        <v>0</v>
      </c>
      <c r="J28" s="160"/>
      <c r="K28" s="335"/>
      <c r="L28" s="162">
        <f t="shared" si="6"/>
        <v>0</v>
      </c>
      <c r="M28" s="335"/>
      <c r="N28" s="162">
        <f t="shared" si="7"/>
        <v>0</v>
      </c>
      <c r="O28" s="162">
        <f t="shared" si="8"/>
        <v>0</v>
      </c>
      <c r="P28" s="4"/>
    </row>
    <row r="29" spans="2:16">
      <c r="B29" s="9" t="str">
        <f t="shared" si="0"/>
        <v/>
      </c>
      <c r="C29" s="157">
        <f>IF(D11="","-",+C28+1)</f>
        <v>2027</v>
      </c>
      <c r="D29" s="433">
        <f>IF(F28+SUM(E$17:E28)=D$10,F28,D$10-SUM(E$17:E28))</f>
        <v>1245044.1648086216</v>
      </c>
      <c r="E29" s="164">
        <f t="shared" si="2"/>
        <v>42300.574999999997</v>
      </c>
      <c r="F29" s="203">
        <f t="shared" si="3"/>
        <v>1202743.5898086217</v>
      </c>
      <c r="G29" s="164">
        <f t="shared" si="4"/>
        <v>183322.89358409354</v>
      </c>
      <c r="H29" s="147">
        <f t="shared" si="5"/>
        <v>183322.89358409354</v>
      </c>
      <c r="I29" s="160">
        <f t="shared" si="1"/>
        <v>0</v>
      </c>
      <c r="J29" s="160"/>
      <c r="K29" s="335"/>
      <c r="L29" s="162">
        <f t="shared" si="6"/>
        <v>0</v>
      </c>
      <c r="M29" s="335"/>
      <c r="N29" s="162">
        <f t="shared" si="7"/>
        <v>0</v>
      </c>
      <c r="O29" s="162">
        <f t="shared" si="8"/>
        <v>0</v>
      </c>
      <c r="P29" s="4"/>
    </row>
    <row r="30" spans="2:16">
      <c r="B30" s="9" t="str">
        <f t="shared" si="0"/>
        <v/>
      </c>
      <c r="C30" s="157">
        <f>IF(D11="","-",+C29+1)</f>
        <v>2028</v>
      </c>
      <c r="D30" s="433">
        <f>IF(F29+SUM(E$17:E29)=D$10,F29,D$10-SUM(E$17:E29))</f>
        <v>1202743.5898086217</v>
      </c>
      <c r="E30" s="164">
        <f t="shared" si="2"/>
        <v>42300.574999999997</v>
      </c>
      <c r="F30" s="203">
        <f t="shared" si="3"/>
        <v>1160443.0148086217</v>
      </c>
      <c r="G30" s="164">
        <f t="shared" si="4"/>
        <v>178448.8393261719</v>
      </c>
      <c r="H30" s="147">
        <f t="shared" si="5"/>
        <v>178448.8393261719</v>
      </c>
      <c r="I30" s="160">
        <f t="shared" si="1"/>
        <v>0</v>
      </c>
      <c r="J30" s="160"/>
      <c r="K30" s="335"/>
      <c r="L30" s="162">
        <f t="shared" si="6"/>
        <v>0</v>
      </c>
      <c r="M30" s="335"/>
      <c r="N30" s="162">
        <f t="shared" si="7"/>
        <v>0</v>
      </c>
      <c r="O30" s="162">
        <f t="shared" si="8"/>
        <v>0</v>
      </c>
      <c r="P30" s="4"/>
    </row>
    <row r="31" spans="2:16">
      <c r="B31" s="9" t="str">
        <f t="shared" si="0"/>
        <v/>
      </c>
      <c r="C31" s="157">
        <f>IF(D11="","-",+C30+1)</f>
        <v>2029</v>
      </c>
      <c r="D31" s="433">
        <f>IF(F30+SUM(E$17:E30)=D$10,F30,D$10-SUM(E$17:E30))</f>
        <v>1160443.0148086217</v>
      </c>
      <c r="E31" s="164">
        <f t="shared" si="2"/>
        <v>42300.574999999997</v>
      </c>
      <c r="F31" s="203">
        <f t="shared" si="3"/>
        <v>1118142.4398086218</v>
      </c>
      <c r="G31" s="164">
        <f t="shared" si="4"/>
        <v>173574.7850682502</v>
      </c>
      <c r="H31" s="147">
        <f t="shared" si="5"/>
        <v>173574.7850682502</v>
      </c>
      <c r="I31" s="160">
        <f t="shared" si="1"/>
        <v>0</v>
      </c>
      <c r="J31" s="160"/>
      <c r="K31" s="335"/>
      <c r="L31" s="162">
        <f t="shared" si="6"/>
        <v>0</v>
      </c>
      <c r="M31" s="335"/>
      <c r="N31" s="162">
        <f t="shared" si="7"/>
        <v>0</v>
      </c>
      <c r="O31" s="162">
        <f t="shared" si="8"/>
        <v>0</v>
      </c>
      <c r="P31" s="4"/>
    </row>
    <row r="32" spans="2:16">
      <c r="B32" s="9" t="str">
        <f t="shared" si="0"/>
        <v/>
      </c>
      <c r="C32" s="157">
        <f>IF(D11="","-",+C31+1)</f>
        <v>2030</v>
      </c>
      <c r="D32" s="433">
        <f>IF(F31+SUM(E$17:E31)=D$10,F31,D$10-SUM(E$17:E31))</f>
        <v>1118142.4398086218</v>
      </c>
      <c r="E32" s="164">
        <f t="shared" si="2"/>
        <v>42300.574999999997</v>
      </c>
      <c r="F32" s="203">
        <f t="shared" si="3"/>
        <v>1075841.8648086218</v>
      </c>
      <c r="G32" s="164">
        <f t="shared" si="4"/>
        <v>168700.73081032856</v>
      </c>
      <c r="H32" s="147">
        <f t="shared" si="5"/>
        <v>168700.73081032856</v>
      </c>
      <c r="I32" s="160">
        <f t="shared" si="1"/>
        <v>0</v>
      </c>
      <c r="J32" s="160"/>
      <c r="K32" s="335"/>
      <c r="L32" s="162">
        <f t="shared" si="6"/>
        <v>0</v>
      </c>
      <c r="M32" s="335"/>
      <c r="N32" s="162">
        <f t="shared" si="7"/>
        <v>0</v>
      </c>
      <c r="O32" s="162">
        <f t="shared" si="8"/>
        <v>0</v>
      </c>
      <c r="P32" s="4"/>
    </row>
    <row r="33" spans="2:16">
      <c r="B33" s="9" t="str">
        <f t="shared" si="0"/>
        <v/>
      </c>
      <c r="C33" s="157">
        <f>IF(D11="","-",+C32+1)</f>
        <v>2031</v>
      </c>
      <c r="D33" s="433">
        <f>IF(F32+SUM(E$17:E32)=D$10,F32,D$10-SUM(E$17:E32))</f>
        <v>1075841.8648086218</v>
      </c>
      <c r="E33" s="164">
        <f t="shared" si="2"/>
        <v>42300.574999999997</v>
      </c>
      <c r="F33" s="203">
        <f t="shared" si="3"/>
        <v>1033541.2898086219</v>
      </c>
      <c r="G33" s="164">
        <f t="shared" si="4"/>
        <v>163826.67655240689</v>
      </c>
      <c r="H33" s="147">
        <f t="shared" si="5"/>
        <v>163826.67655240689</v>
      </c>
      <c r="I33" s="160">
        <f t="shared" si="1"/>
        <v>0</v>
      </c>
      <c r="J33" s="160"/>
      <c r="K33" s="335"/>
      <c r="L33" s="162">
        <f t="shared" si="6"/>
        <v>0</v>
      </c>
      <c r="M33" s="335"/>
      <c r="N33" s="162">
        <f t="shared" si="7"/>
        <v>0</v>
      </c>
      <c r="O33" s="162">
        <f t="shared" si="8"/>
        <v>0</v>
      </c>
      <c r="P33" s="4"/>
    </row>
    <row r="34" spans="2:16">
      <c r="B34" s="9" t="str">
        <f t="shared" si="0"/>
        <v/>
      </c>
      <c r="C34" s="157">
        <f>IF(D11="","-",+C33+1)</f>
        <v>2032</v>
      </c>
      <c r="D34" s="433">
        <f>IF(F33+SUM(E$17:E33)=D$10,F33,D$10-SUM(E$17:E33))</f>
        <v>1033541.2898086219</v>
      </c>
      <c r="E34" s="164">
        <f t="shared" si="2"/>
        <v>42300.574999999997</v>
      </c>
      <c r="F34" s="203">
        <f t="shared" si="3"/>
        <v>991240.71480862191</v>
      </c>
      <c r="G34" s="164">
        <f t="shared" si="4"/>
        <v>158952.62229448525</v>
      </c>
      <c r="H34" s="147">
        <f t="shared" si="5"/>
        <v>158952.62229448525</v>
      </c>
      <c r="I34" s="160">
        <f t="shared" si="1"/>
        <v>0</v>
      </c>
      <c r="J34" s="160"/>
      <c r="K34" s="335"/>
      <c r="L34" s="162">
        <f t="shared" si="6"/>
        <v>0</v>
      </c>
      <c r="M34" s="335"/>
      <c r="N34" s="162">
        <f t="shared" si="7"/>
        <v>0</v>
      </c>
      <c r="O34" s="162">
        <f t="shared" si="8"/>
        <v>0</v>
      </c>
      <c r="P34" s="4"/>
    </row>
    <row r="35" spans="2:16">
      <c r="B35" s="9" t="str">
        <f t="shared" si="0"/>
        <v/>
      </c>
      <c r="C35" s="157">
        <f>IF(D11="","-",+C34+1)</f>
        <v>2033</v>
      </c>
      <c r="D35" s="433">
        <f>IF(F34+SUM(E$17:E34)=D$10,F34,D$10-SUM(E$17:E34))</f>
        <v>991240.71480862191</v>
      </c>
      <c r="E35" s="164">
        <f t="shared" si="2"/>
        <v>42300.574999999997</v>
      </c>
      <c r="F35" s="203">
        <f t="shared" si="3"/>
        <v>948940.13980862196</v>
      </c>
      <c r="G35" s="164">
        <f t="shared" si="4"/>
        <v>154078.56803656358</v>
      </c>
      <c r="H35" s="147">
        <f t="shared" si="5"/>
        <v>154078.56803656358</v>
      </c>
      <c r="I35" s="160">
        <f t="shared" si="1"/>
        <v>0</v>
      </c>
      <c r="J35" s="160"/>
      <c r="K35" s="335"/>
      <c r="L35" s="162">
        <f t="shared" si="6"/>
        <v>0</v>
      </c>
      <c r="M35" s="335"/>
      <c r="N35" s="162">
        <f t="shared" si="7"/>
        <v>0</v>
      </c>
      <c r="O35" s="162">
        <f t="shared" si="8"/>
        <v>0</v>
      </c>
      <c r="P35" s="4"/>
    </row>
    <row r="36" spans="2:16">
      <c r="B36" s="9" t="str">
        <f t="shared" si="0"/>
        <v/>
      </c>
      <c r="C36" s="157">
        <f>IF(D11="","-",+C35+1)</f>
        <v>2034</v>
      </c>
      <c r="D36" s="433">
        <f>IF(F35+SUM(E$17:E35)=D$10,F35,D$10-SUM(E$17:E35))</f>
        <v>948940.13980862196</v>
      </c>
      <c r="E36" s="164">
        <f t="shared" si="2"/>
        <v>42300.574999999997</v>
      </c>
      <c r="F36" s="203">
        <f t="shared" si="3"/>
        <v>906639.564808622</v>
      </c>
      <c r="G36" s="164">
        <f t="shared" si="4"/>
        <v>149204.51377864194</v>
      </c>
      <c r="H36" s="147">
        <f t="shared" si="5"/>
        <v>149204.51377864194</v>
      </c>
      <c r="I36" s="160">
        <f t="shared" si="1"/>
        <v>0</v>
      </c>
      <c r="J36" s="160"/>
      <c r="K36" s="335"/>
      <c r="L36" s="162">
        <f t="shared" si="6"/>
        <v>0</v>
      </c>
      <c r="M36" s="335"/>
      <c r="N36" s="162">
        <f t="shared" si="7"/>
        <v>0</v>
      </c>
      <c r="O36" s="162">
        <f t="shared" si="8"/>
        <v>0</v>
      </c>
      <c r="P36" s="4"/>
    </row>
    <row r="37" spans="2:16">
      <c r="B37" s="9" t="str">
        <f t="shared" si="0"/>
        <v/>
      </c>
      <c r="C37" s="157">
        <f>IF(D11="","-",+C36+1)</f>
        <v>2035</v>
      </c>
      <c r="D37" s="433">
        <f>IF(F36+SUM(E$17:E36)=D$10,F36,D$10-SUM(E$17:E36))</f>
        <v>906639.564808622</v>
      </c>
      <c r="E37" s="164">
        <f t="shared" si="2"/>
        <v>42300.574999999997</v>
      </c>
      <c r="F37" s="203">
        <f t="shared" si="3"/>
        <v>864338.98980862205</v>
      </c>
      <c r="G37" s="164">
        <f t="shared" si="4"/>
        <v>144330.45952072027</v>
      </c>
      <c r="H37" s="147">
        <f t="shared" si="5"/>
        <v>144330.45952072027</v>
      </c>
      <c r="I37" s="160">
        <f t="shared" si="1"/>
        <v>0</v>
      </c>
      <c r="J37" s="160"/>
      <c r="K37" s="335"/>
      <c r="L37" s="162">
        <f t="shared" si="6"/>
        <v>0</v>
      </c>
      <c r="M37" s="335"/>
      <c r="N37" s="162">
        <f t="shared" si="7"/>
        <v>0</v>
      </c>
      <c r="O37" s="162">
        <f t="shared" si="8"/>
        <v>0</v>
      </c>
      <c r="P37" s="4"/>
    </row>
    <row r="38" spans="2:16">
      <c r="B38" s="9" t="str">
        <f t="shared" si="0"/>
        <v/>
      </c>
      <c r="C38" s="157">
        <f>IF(D11="","-",+C37+1)</f>
        <v>2036</v>
      </c>
      <c r="D38" s="433">
        <f>IF(F37+SUM(E$17:E37)=D$10,F37,D$10-SUM(E$17:E37))</f>
        <v>864338.98980862205</v>
      </c>
      <c r="E38" s="164">
        <f t="shared" si="2"/>
        <v>42300.574999999997</v>
      </c>
      <c r="F38" s="203">
        <f t="shared" si="3"/>
        <v>822038.4148086221</v>
      </c>
      <c r="G38" s="164">
        <f t="shared" si="4"/>
        <v>139456.40526279859</v>
      </c>
      <c r="H38" s="147">
        <f t="shared" si="5"/>
        <v>139456.40526279859</v>
      </c>
      <c r="I38" s="160">
        <f t="shared" si="1"/>
        <v>0</v>
      </c>
      <c r="J38" s="160"/>
      <c r="K38" s="335"/>
      <c r="L38" s="162">
        <f t="shared" si="6"/>
        <v>0</v>
      </c>
      <c r="M38" s="335"/>
      <c r="N38" s="162">
        <f t="shared" si="7"/>
        <v>0</v>
      </c>
      <c r="O38" s="162">
        <f t="shared" si="8"/>
        <v>0</v>
      </c>
      <c r="P38" s="4"/>
    </row>
    <row r="39" spans="2:16">
      <c r="B39" s="9" t="str">
        <f t="shared" si="0"/>
        <v/>
      </c>
      <c r="C39" s="157">
        <f>IF(D11="","-",+C38+1)</f>
        <v>2037</v>
      </c>
      <c r="D39" s="433">
        <f>IF(F38+SUM(E$17:E38)=D$10,F38,D$10-SUM(E$17:E38))</f>
        <v>822038.4148086221</v>
      </c>
      <c r="E39" s="164">
        <f t="shared" si="2"/>
        <v>42300.574999999997</v>
      </c>
      <c r="F39" s="203">
        <f t="shared" si="3"/>
        <v>779737.83980862214</v>
      </c>
      <c r="G39" s="164">
        <f t="shared" si="4"/>
        <v>134582.35100487695</v>
      </c>
      <c r="H39" s="147">
        <f t="shared" si="5"/>
        <v>134582.35100487695</v>
      </c>
      <c r="I39" s="160">
        <f t="shared" si="1"/>
        <v>0</v>
      </c>
      <c r="J39" s="160"/>
      <c r="K39" s="335"/>
      <c r="L39" s="162">
        <f t="shared" si="6"/>
        <v>0</v>
      </c>
      <c r="M39" s="335"/>
      <c r="N39" s="162">
        <f t="shared" si="7"/>
        <v>0</v>
      </c>
      <c r="O39" s="162">
        <f t="shared" si="8"/>
        <v>0</v>
      </c>
      <c r="P39" s="4"/>
    </row>
    <row r="40" spans="2:16">
      <c r="B40" s="9" t="str">
        <f t="shared" si="0"/>
        <v/>
      </c>
      <c r="C40" s="157">
        <f>IF(D11="","-",+C39+1)</f>
        <v>2038</v>
      </c>
      <c r="D40" s="433">
        <f>IF(F39+SUM(E$17:E39)=D$10,F39,D$10-SUM(E$17:E39))</f>
        <v>779737.83980862214</v>
      </c>
      <c r="E40" s="164">
        <f t="shared" si="2"/>
        <v>42300.574999999997</v>
      </c>
      <c r="F40" s="203">
        <f t="shared" si="3"/>
        <v>737437.26480862219</v>
      </c>
      <c r="G40" s="164">
        <f t="shared" si="4"/>
        <v>129708.2967469553</v>
      </c>
      <c r="H40" s="147">
        <f t="shared" si="5"/>
        <v>129708.2967469553</v>
      </c>
      <c r="I40" s="160">
        <f t="shared" si="1"/>
        <v>0</v>
      </c>
      <c r="J40" s="160"/>
      <c r="K40" s="335"/>
      <c r="L40" s="162">
        <f t="shared" si="6"/>
        <v>0</v>
      </c>
      <c r="M40" s="335"/>
      <c r="N40" s="162">
        <f t="shared" si="7"/>
        <v>0</v>
      </c>
      <c r="O40" s="162">
        <f t="shared" si="8"/>
        <v>0</v>
      </c>
      <c r="P40" s="4"/>
    </row>
    <row r="41" spans="2:16">
      <c r="B41" s="9" t="str">
        <f t="shared" si="0"/>
        <v/>
      </c>
      <c r="C41" s="157">
        <f>IF(D11="","-",+C40+1)</f>
        <v>2039</v>
      </c>
      <c r="D41" s="433">
        <f>IF(F40+SUM(E$17:E40)=D$10,F40,D$10-SUM(E$17:E40))</f>
        <v>737437.26480862219</v>
      </c>
      <c r="E41" s="164">
        <f t="shared" si="2"/>
        <v>42300.574999999997</v>
      </c>
      <c r="F41" s="203">
        <f t="shared" si="3"/>
        <v>695136.68980862224</v>
      </c>
      <c r="G41" s="164">
        <f t="shared" si="4"/>
        <v>124834.24248903363</v>
      </c>
      <c r="H41" s="147">
        <f t="shared" si="5"/>
        <v>124834.24248903363</v>
      </c>
      <c r="I41" s="160">
        <f t="shared" si="1"/>
        <v>0</v>
      </c>
      <c r="J41" s="160"/>
      <c r="K41" s="335"/>
      <c r="L41" s="162">
        <f t="shared" si="6"/>
        <v>0</v>
      </c>
      <c r="M41" s="335"/>
      <c r="N41" s="162">
        <f t="shared" si="7"/>
        <v>0</v>
      </c>
      <c r="O41" s="162">
        <f t="shared" si="8"/>
        <v>0</v>
      </c>
      <c r="P41" s="4"/>
    </row>
    <row r="42" spans="2:16">
      <c r="B42" s="9" t="str">
        <f t="shared" si="0"/>
        <v/>
      </c>
      <c r="C42" s="157">
        <f>IF(D11="","-",+C41+1)</f>
        <v>2040</v>
      </c>
      <c r="D42" s="433">
        <f>IF(F41+SUM(E$17:E41)=D$10,F41,D$10-SUM(E$17:E41))</f>
        <v>695136.68980862224</v>
      </c>
      <c r="E42" s="164">
        <f t="shared" si="2"/>
        <v>42300.574999999997</v>
      </c>
      <c r="F42" s="203">
        <f t="shared" si="3"/>
        <v>652836.11480862228</v>
      </c>
      <c r="G42" s="164">
        <f t="shared" si="4"/>
        <v>119960.18823111197</v>
      </c>
      <c r="H42" s="147">
        <f t="shared" si="5"/>
        <v>119960.18823111197</v>
      </c>
      <c r="I42" s="160">
        <f t="shared" si="1"/>
        <v>0</v>
      </c>
      <c r="J42" s="160"/>
      <c r="K42" s="335"/>
      <c r="L42" s="162">
        <f t="shared" si="6"/>
        <v>0</v>
      </c>
      <c r="M42" s="335"/>
      <c r="N42" s="162">
        <f t="shared" si="7"/>
        <v>0</v>
      </c>
      <c r="O42" s="162">
        <f t="shared" si="8"/>
        <v>0</v>
      </c>
      <c r="P42" s="4"/>
    </row>
    <row r="43" spans="2:16">
      <c r="B43" s="9" t="str">
        <f t="shared" si="0"/>
        <v/>
      </c>
      <c r="C43" s="157">
        <f>IF(D11="","-",+C42+1)</f>
        <v>2041</v>
      </c>
      <c r="D43" s="433">
        <f>IF(F42+SUM(E$17:E42)=D$10,F42,D$10-SUM(E$17:E42))</f>
        <v>652836.11480862228</v>
      </c>
      <c r="E43" s="164">
        <f t="shared" si="2"/>
        <v>42300.574999999997</v>
      </c>
      <c r="F43" s="203">
        <f t="shared" si="3"/>
        <v>610535.53980862233</v>
      </c>
      <c r="G43" s="164">
        <f t="shared" si="4"/>
        <v>115086.13397319031</v>
      </c>
      <c r="H43" s="147">
        <f t="shared" si="5"/>
        <v>115086.13397319031</v>
      </c>
      <c r="I43" s="160">
        <f t="shared" si="1"/>
        <v>0</v>
      </c>
      <c r="J43" s="160"/>
      <c r="K43" s="335"/>
      <c r="L43" s="162">
        <f t="shared" si="6"/>
        <v>0</v>
      </c>
      <c r="M43" s="335"/>
      <c r="N43" s="162">
        <f t="shared" si="7"/>
        <v>0</v>
      </c>
      <c r="O43" s="162">
        <f t="shared" si="8"/>
        <v>0</v>
      </c>
      <c r="P43" s="4"/>
    </row>
    <row r="44" spans="2:16">
      <c r="B44" s="9" t="str">
        <f t="shared" si="0"/>
        <v/>
      </c>
      <c r="C44" s="157">
        <f>IF(D11="","-",+C43+1)</f>
        <v>2042</v>
      </c>
      <c r="D44" s="433">
        <f>IF(F43+SUM(E$17:E43)=D$10,F43,D$10-SUM(E$17:E43))</f>
        <v>610535.53980862233</v>
      </c>
      <c r="E44" s="164">
        <f t="shared" si="2"/>
        <v>42300.574999999997</v>
      </c>
      <c r="F44" s="203">
        <f t="shared" si="3"/>
        <v>568234.96480862238</v>
      </c>
      <c r="G44" s="164">
        <f t="shared" si="4"/>
        <v>110212.07971526866</v>
      </c>
      <c r="H44" s="147">
        <f t="shared" si="5"/>
        <v>110212.07971526866</v>
      </c>
      <c r="I44" s="160">
        <f t="shared" si="1"/>
        <v>0</v>
      </c>
      <c r="J44" s="160"/>
      <c r="K44" s="335"/>
      <c r="L44" s="162">
        <f t="shared" si="6"/>
        <v>0</v>
      </c>
      <c r="M44" s="335"/>
      <c r="N44" s="162">
        <f t="shared" si="7"/>
        <v>0</v>
      </c>
      <c r="O44" s="162">
        <f t="shared" si="8"/>
        <v>0</v>
      </c>
      <c r="P44" s="4"/>
    </row>
    <row r="45" spans="2:16">
      <c r="B45" s="9" t="str">
        <f t="shared" si="0"/>
        <v/>
      </c>
      <c r="C45" s="157">
        <f>IF(D11="","-",+C44+1)</f>
        <v>2043</v>
      </c>
      <c r="D45" s="433">
        <f>IF(F44+SUM(E$17:E44)=D$10,F44,D$10-SUM(E$17:E44))</f>
        <v>568234.96480862238</v>
      </c>
      <c r="E45" s="164">
        <f t="shared" si="2"/>
        <v>42300.574999999997</v>
      </c>
      <c r="F45" s="203">
        <f t="shared" si="3"/>
        <v>525934.38980862242</v>
      </c>
      <c r="G45" s="164">
        <f t="shared" si="4"/>
        <v>105338.02545734699</v>
      </c>
      <c r="H45" s="147">
        <f t="shared" si="5"/>
        <v>105338.02545734699</v>
      </c>
      <c r="I45" s="160">
        <f t="shared" si="1"/>
        <v>0</v>
      </c>
      <c r="J45" s="160"/>
      <c r="K45" s="335"/>
      <c r="L45" s="162">
        <f t="shared" si="6"/>
        <v>0</v>
      </c>
      <c r="M45" s="335"/>
      <c r="N45" s="162">
        <f t="shared" si="7"/>
        <v>0</v>
      </c>
      <c r="O45" s="162">
        <f t="shared" si="8"/>
        <v>0</v>
      </c>
      <c r="P45" s="4"/>
    </row>
    <row r="46" spans="2:16">
      <c r="B46" s="9" t="str">
        <f t="shared" si="0"/>
        <v/>
      </c>
      <c r="C46" s="157">
        <f>IF(D11="","-",+C45+1)</f>
        <v>2044</v>
      </c>
      <c r="D46" s="433">
        <f>IF(F45+SUM(E$17:E45)=D$10,F45,D$10-SUM(E$17:E45))</f>
        <v>525934.38980862242</v>
      </c>
      <c r="E46" s="164">
        <f t="shared" si="2"/>
        <v>42300.574999999997</v>
      </c>
      <c r="F46" s="203">
        <f t="shared" si="3"/>
        <v>483633.81480862241</v>
      </c>
      <c r="G46" s="164">
        <f t="shared" si="4"/>
        <v>100463.97119942534</v>
      </c>
      <c r="H46" s="147">
        <f t="shared" si="5"/>
        <v>100463.97119942534</v>
      </c>
      <c r="I46" s="160">
        <f t="shared" si="1"/>
        <v>0</v>
      </c>
      <c r="J46" s="160"/>
      <c r="K46" s="335"/>
      <c r="L46" s="162">
        <f t="shared" si="6"/>
        <v>0</v>
      </c>
      <c r="M46" s="335"/>
      <c r="N46" s="162">
        <f t="shared" si="7"/>
        <v>0</v>
      </c>
      <c r="O46" s="162">
        <f t="shared" si="8"/>
        <v>0</v>
      </c>
      <c r="P46" s="4"/>
    </row>
    <row r="47" spans="2:16">
      <c r="B47" s="9" t="str">
        <f t="shared" si="0"/>
        <v/>
      </c>
      <c r="C47" s="157">
        <f>IF(D11="","-",+C46+1)</f>
        <v>2045</v>
      </c>
      <c r="D47" s="433">
        <f>IF(F46+SUM(E$17:E46)=D$10,F46,D$10-SUM(E$17:E46))</f>
        <v>483633.81480862241</v>
      </c>
      <c r="E47" s="164">
        <f t="shared" si="2"/>
        <v>42300.574999999997</v>
      </c>
      <c r="F47" s="203">
        <f t="shared" si="3"/>
        <v>441333.2398086224</v>
      </c>
      <c r="G47" s="164">
        <f t="shared" si="4"/>
        <v>95589.916941503659</v>
      </c>
      <c r="H47" s="147">
        <f t="shared" si="5"/>
        <v>95589.916941503659</v>
      </c>
      <c r="I47" s="160">
        <f t="shared" si="1"/>
        <v>0</v>
      </c>
      <c r="J47" s="160"/>
      <c r="K47" s="335"/>
      <c r="L47" s="162">
        <f t="shared" si="6"/>
        <v>0</v>
      </c>
      <c r="M47" s="335"/>
      <c r="N47" s="162">
        <f t="shared" si="7"/>
        <v>0</v>
      </c>
      <c r="O47" s="162">
        <f t="shared" si="8"/>
        <v>0</v>
      </c>
      <c r="P47" s="4"/>
    </row>
    <row r="48" spans="2:16">
      <c r="B48" s="9" t="str">
        <f t="shared" si="0"/>
        <v/>
      </c>
      <c r="C48" s="157">
        <f>IF(D11="","-",+C47+1)</f>
        <v>2046</v>
      </c>
      <c r="D48" s="433">
        <f>IF(F47+SUM(E$17:E47)=D$10,F47,D$10-SUM(E$17:E47))</f>
        <v>441333.2398086224</v>
      </c>
      <c r="E48" s="164">
        <f t="shared" si="2"/>
        <v>42300.574999999997</v>
      </c>
      <c r="F48" s="203">
        <f t="shared" si="3"/>
        <v>399032.66480862239</v>
      </c>
      <c r="G48" s="164">
        <f t="shared" si="4"/>
        <v>90715.862683582003</v>
      </c>
      <c r="H48" s="147">
        <f t="shared" si="5"/>
        <v>90715.862683582003</v>
      </c>
      <c r="I48" s="160">
        <f t="shared" si="1"/>
        <v>0</v>
      </c>
      <c r="J48" s="160"/>
      <c r="K48" s="335"/>
      <c r="L48" s="162">
        <f t="shared" si="6"/>
        <v>0</v>
      </c>
      <c r="M48" s="335"/>
      <c r="N48" s="162">
        <f t="shared" si="7"/>
        <v>0</v>
      </c>
      <c r="O48" s="162">
        <f t="shared" si="8"/>
        <v>0</v>
      </c>
      <c r="P48" s="4"/>
    </row>
    <row r="49" spans="2:16">
      <c r="B49" s="9" t="str">
        <f t="shared" si="0"/>
        <v/>
      </c>
      <c r="C49" s="157">
        <f>IF(D11="","-",+C48+1)</f>
        <v>2047</v>
      </c>
      <c r="D49" s="433">
        <f>IF(F48+SUM(E$17:E48)=D$10,F48,D$10-SUM(E$17:E48))</f>
        <v>399032.66480862239</v>
      </c>
      <c r="E49" s="164">
        <f t="shared" si="2"/>
        <v>42300.574999999997</v>
      </c>
      <c r="F49" s="203">
        <f t="shared" si="3"/>
        <v>356732.08980862238</v>
      </c>
      <c r="G49" s="164">
        <f t="shared" si="4"/>
        <v>85841.808425660332</v>
      </c>
      <c r="H49" s="147">
        <f t="shared" si="5"/>
        <v>85841.808425660332</v>
      </c>
      <c r="I49" s="160">
        <f t="shared" si="1"/>
        <v>0</v>
      </c>
      <c r="J49" s="160"/>
      <c r="K49" s="335"/>
      <c r="L49" s="162">
        <f t="shared" si="6"/>
        <v>0</v>
      </c>
      <c r="M49" s="335"/>
      <c r="N49" s="162">
        <f t="shared" si="7"/>
        <v>0</v>
      </c>
      <c r="O49" s="162">
        <f t="shared" si="8"/>
        <v>0</v>
      </c>
      <c r="P49" s="4"/>
    </row>
    <row r="50" spans="2:16">
      <c r="B50" s="9" t="str">
        <f t="shared" si="0"/>
        <v/>
      </c>
      <c r="C50" s="157">
        <f>IF(D11="","-",+C49+1)</f>
        <v>2048</v>
      </c>
      <c r="D50" s="433">
        <f>IF(F49+SUM(E$17:E49)=D$10,F49,D$10-SUM(E$17:E49))</f>
        <v>356732.08980862238</v>
      </c>
      <c r="E50" s="164">
        <f t="shared" si="2"/>
        <v>42300.574999999997</v>
      </c>
      <c r="F50" s="203">
        <f t="shared" si="3"/>
        <v>314431.51480862236</v>
      </c>
      <c r="G50" s="164">
        <f t="shared" si="4"/>
        <v>80967.754167738662</v>
      </c>
      <c r="H50" s="147">
        <f t="shared" si="5"/>
        <v>80967.754167738662</v>
      </c>
      <c r="I50" s="160">
        <f t="shared" si="1"/>
        <v>0</v>
      </c>
      <c r="J50" s="160"/>
      <c r="K50" s="335"/>
      <c r="L50" s="162">
        <f t="shared" si="6"/>
        <v>0</v>
      </c>
      <c r="M50" s="335"/>
      <c r="N50" s="162">
        <f t="shared" si="7"/>
        <v>0</v>
      </c>
      <c r="O50" s="162">
        <f t="shared" si="8"/>
        <v>0</v>
      </c>
      <c r="P50" s="4"/>
    </row>
    <row r="51" spans="2:16">
      <c r="B51" s="9" t="str">
        <f t="shared" si="0"/>
        <v/>
      </c>
      <c r="C51" s="157">
        <f>IF(D11="","-",+C50+1)</f>
        <v>2049</v>
      </c>
      <c r="D51" s="433">
        <f>IF(F50+SUM(E$17:E50)=D$10,F50,D$10-SUM(E$17:E50))</f>
        <v>314431.51480862236</v>
      </c>
      <c r="E51" s="164">
        <f t="shared" si="2"/>
        <v>42300.574999999997</v>
      </c>
      <c r="F51" s="203">
        <f t="shared" si="3"/>
        <v>272130.93980862235</v>
      </c>
      <c r="G51" s="164">
        <f t="shared" si="4"/>
        <v>76093.699909816991</v>
      </c>
      <c r="H51" s="147">
        <f t="shared" si="5"/>
        <v>76093.699909816991</v>
      </c>
      <c r="I51" s="160">
        <f t="shared" si="1"/>
        <v>0</v>
      </c>
      <c r="J51" s="160"/>
      <c r="K51" s="335"/>
      <c r="L51" s="162">
        <f t="shared" si="6"/>
        <v>0</v>
      </c>
      <c r="M51" s="335"/>
      <c r="N51" s="162">
        <f t="shared" si="7"/>
        <v>0</v>
      </c>
      <c r="O51" s="162">
        <f t="shared" si="8"/>
        <v>0</v>
      </c>
      <c r="P51" s="4"/>
    </row>
    <row r="52" spans="2:16">
      <c r="B52" s="9" t="str">
        <f t="shared" si="0"/>
        <v/>
      </c>
      <c r="C52" s="157">
        <f>IF(D11="","-",+C51+1)</f>
        <v>2050</v>
      </c>
      <c r="D52" s="433">
        <f>IF(F51+SUM(E$17:E51)=D$10,F51,D$10-SUM(E$17:E51))</f>
        <v>272130.93980862235</v>
      </c>
      <c r="E52" s="164">
        <f t="shared" si="2"/>
        <v>42300.574999999997</v>
      </c>
      <c r="F52" s="203">
        <f t="shared" si="3"/>
        <v>229830.36480862234</v>
      </c>
      <c r="G52" s="164">
        <f t="shared" si="4"/>
        <v>71219.645651895335</v>
      </c>
      <c r="H52" s="147">
        <f t="shared" si="5"/>
        <v>71219.645651895335</v>
      </c>
      <c r="I52" s="160">
        <f t="shared" si="1"/>
        <v>0</v>
      </c>
      <c r="J52" s="160"/>
      <c r="K52" s="335"/>
      <c r="L52" s="162">
        <f t="shared" si="6"/>
        <v>0</v>
      </c>
      <c r="M52" s="335"/>
      <c r="N52" s="162">
        <f t="shared" si="7"/>
        <v>0</v>
      </c>
      <c r="O52" s="162">
        <f t="shared" si="8"/>
        <v>0</v>
      </c>
      <c r="P52" s="4"/>
    </row>
    <row r="53" spans="2:16">
      <c r="B53" s="9" t="str">
        <f t="shared" si="0"/>
        <v/>
      </c>
      <c r="C53" s="157">
        <f>IF(D11="","-",+C52+1)</f>
        <v>2051</v>
      </c>
      <c r="D53" s="433">
        <f>IF(F52+SUM(E$17:E52)=D$10,F52,D$10-SUM(E$17:E52))</f>
        <v>229830.36480862234</v>
      </c>
      <c r="E53" s="164">
        <f t="shared" si="2"/>
        <v>42300.574999999997</v>
      </c>
      <c r="F53" s="203">
        <f t="shared" si="3"/>
        <v>187529.78980862233</v>
      </c>
      <c r="G53" s="164">
        <f t="shared" si="4"/>
        <v>66345.591393973664</v>
      </c>
      <c r="H53" s="147">
        <f t="shared" si="5"/>
        <v>66345.591393973664</v>
      </c>
      <c r="I53" s="160">
        <f t="shared" si="1"/>
        <v>0</v>
      </c>
      <c r="J53" s="160"/>
      <c r="K53" s="335"/>
      <c r="L53" s="162">
        <f t="shared" si="6"/>
        <v>0</v>
      </c>
      <c r="M53" s="335"/>
      <c r="N53" s="162">
        <f t="shared" si="7"/>
        <v>0</v>
      </c>
      <c r="O53" s="162">
        <f t="shared" si="8"/>
        <v>0</v>
      </c>
      <c r="P53" s="4"/>
    </row>
    <row r="54" spans="2:16">
      <c r="B54" s="9" t="str">
        <f t="shared" si="0"/>
        <v/>
      </c>
      <c r="C54" s="157">
        <f>IF(D11="","-",+C53+1)</f>
        <v>2052</v>
      </c>
      <c r="D54" s="433">
        <f>IF(F53+SUM(E$17:E53)=D$10,F53,D$10-SUM(E$17:E53))</f>
        <v>187529.78980862233</v>
      </c>
      <c r="E54" s="164">
        <f t="shared" si="2"/>
        <v>42300.574999999997</v>
      </c>
      <c r="F54" s="203">
        <f t="shared" si="3"/>
        <v>145229.21480862232</v>
      </c>
      <c r="G54" s="164">
        <f t="shared" si="4"/>
        <v>61471.537136052008</v>
      </c>
      <c r="H54" s="147">
        <f t="shared" si="5"/>
        <v>61471.537136052008</v>
      </c>
      <c r="I54" s="160">
        <f t="shared" si="1"/>
        <v>0</v>
      </c>
      <c r="J54" s="160"/>
      <c r="K54" s="335"/>
      <c r="L54" s="162">
        <f t="shared" si="6"/>
        <v>0</v>
      </c>
      <c r="M54" s="335"/>
      <c r="N54" s="162">
        <f t="shared" si="7"/>
        <v>0</v>
      </c>
      <c r="O54" s="162">
        <f t="shared" si="8"/>
        <v>0</v>
      </c>
      <c r="P54" s="4"/>
    </row>
    <row r="55" spans="2:16">
      <c r="B55" s="9" t="str">
        <f t="shared" si="0"/>
        <v/>
      </c>
      <c r="C55" s="157">
        <f>IF(D11="","-",+C54+1)</f>
        <v>2053</v>
      </c>
      <c r="D55" s="433">
        <f>IF(F54+SUM(E$17:E54)=D$10,F54,D$10-SUM(E$17:E54))</f>
        <v>145229.21480862232</v>
      </c>
      <c r="E55" s="164">
        <f t="shared" si="2"/>
        <v>42300.574999999997</v>
      </c>
      <c r="F55" s="203">
        <f t="shared" si="3"/>
        <v>102928.63980862232</v>
      </c>
      <c r="G55" s="164">
        <f t="shared" si="4"/>
        <v>56597.482878130337</v>
      </c>
      <c r="H55" s="147">
        <f t="shared" si="5"/>
        <v>56597.482878130337</v>
      </c>
      <c r="I55" s="160">
        <f t="shared" si="1"/>
        <v>0</v>
      </c>
      <c r="J55" s="160"/>
      <c r="K55" s="335"/>
      <c r="L55" s="162">
        <f t="shared" si="6"/>
        <v>0</v>
      </c>
      <c r="M55" s="335"/>
      <c r="N55" s="162">
        <f t="shared" si="7"/>
        <v>0</v>
      </c>
      <c r="O55" s="162">
        <f t="shared" si="8"/>
        <v>0</v>
      </c>
      <c r="P55" s="4"/>
    </row>
    <row r="56" spans="2:16">
      <c r="B56" s="9" t="str">
        <f t="shared" si="0"/>
        <v/>
      </c>
      <c r="C56" s="157">
        <f>IF(D11="","-",+C55+1)</f>
        <v>2054</v>
      </c>
      <c r="D56" s="433">
        <f>IF(F55+SUM(E$17:E55)=D$10,F55,D$10-SUM(E$17:E55))</f>
        <v>102928.63980862232</v>
      </c>
      <c r="E56" s="164">
        <f t="shared" si="2"/>
        <v>42300.574999999997</v>
      </c>
      <c r="F56" s="203">
        <f t="shared" si="3"/>
        <v>60628.064808622323</v>
      </c>
      <c r="G56" s="164">
        <f t="shared" si="4"/>
        <v>51723.428620208673</v>
      </c>
      <c r="H56" s="147">
        <f t="shared" si="5"/>
        <v>51723.428620208673</v>
      </c>
      <c r="I56" s="160">
        <f t="shared" si="1"/>
        <v>0</v>
      </c>
      <c r="J56" s="160"/>
      <c r="K56" s="335"/>
      <c r="L56" s="162">
        <f t="shared" si="6"/>
        <v>0</v>
      </c>
      <c r="M56" s="335"/>
      <c r="N56" s="162">
        <f t="shared" si="7"/>
        <v>0</v>
      </c>
      <c r="O56" s="162">
        <f t="shared" si="8"/>
        <v>0</v>
      </c>
      <c r="P56" s="4"/>
    </row>
    <row r="57" spans="2:16">
      <c r="B57" s="9" t="str">
        <f t="shared" si="0"/>
        <v/>
      </c>
      <c r="C57" s="157">
        <f>IF(D11="","-",+C56+1)</f>
        <v>2055</v>
      </c>
      <c r="D57" s="433">
        <f>IF(F56+SUM(E$17:E56)=D$10,F56,D$10-SUM(E$17:E56))</f>
        <v>60628.064808622323</v>
      </c>
      <c r="E57" s="164">
        <f t="shared" si="2"/>
        <v>42300.574999999997</v>
      </c>
      <c r="F57" s="203">
        <f t="shared" si="3"/>
        <v>18327.489808622326</v>
      </c>
      <c r="G57" s="164">
        <f t="shared" si="4"/>
        <v>46849.37436228701</v>
      </c>
      <c r="H57" s="147">
        <f t="shared" si="5"/>
        <v>46849.37436228701</v>
      </c>
      <c r="I57" s="160">
        <f t="shared" si="1"/>
        <v>0</v>
      </c>
      <c r="J57" s="160"/>
      <c r="K57" s="335"/>
      <c r="L57" s="162">
        <f t="shared" si="6"/>
        <v>0</v>
      </c>
      <c r="M57" s="335"/>
      <c r="N57" s="162">
        <f t="shared" si="7"/>
        <v>0</v>
      </c>
      <c r="O57" s="162">
        <f t="shared" si="8"/>
        <v>0</v>
      </c>
      <c r="P57" s="4"/>
    </row>
    <row r="58" spans="2:16">
      <c r="B58" s="9" t="str">
        <f t="shared" si="0"/>
        <v/>
      </c>
      <c r="C58" s="157">
        <f>IF(D11="","-",+C57+1)</f>
        <v>2056</v>
      </c>
      <c r="D58" s="433">
        <f>IF(F57+SUM(E$17:E57)=D$10,F57,D$10-SUM(E$17:E57))</f>
        <v>18327.489808622326</v>
      </c>
      <c r="E58" s="164">
        <f t="shared" si="2"/>
        <v>18327.489808622326</v>
      </c>
      <c r="F58" s="203">
        <f t="shared" si="3"/>
        <v>0</v>
      </c>
      <c r="G58" s="164">
        <f t="shared" si="4"/>
        <v>19383.375925285414</v>
      </c>
      <c r="H58" s="147">
        <f t="shared" si="5"/>
        <v>19383.375925285414</v>
      </c>
      <c r="I58" s="160">
        <f t="shared" si="1"/>
        <v>0</v>
      </c>
      <c r="J58" s="160"/>
      <c r="K58" s="335"/>
      <c r="L58" s="162">
        <f t="shared" si="6"/>
        <v>0</v>
      </c>
      <c r="M58" s="335"/>
      <c r="N58" s="162">
        <f t="shared" si="7"/>
        <v>0</v>
      </c>
      <c r="O58" s="162">
        <f t="shared" si="8"/>
        <v>0</v>
      </c>
      <c r="P58" s="4"/>
    </row>
    <row r="59" spans="2:16">
      <c r="B59" s="9" t="str">
        <f t="shared" si="0"/>
        <v/>
      </c>
      <c r="C59" s="157">
        <f>IF(D11="","-",+C58+1)</f>
        <v>2057</v>
      </c>
      <c r="D59" s="433">
        <f>IF(F58+SUM(E$17:E58)=D$10,F58,D$10-SUM(E$17:E58))</f>
        <v>0</v>
      </c>
      <c r="E59" s="164">
        <f t="shared" si="2"/>
        <v>0</v>
      </c>
      <c r="F59" s="203">
        <f t="shared" si="3"/>
        <v>0</v>
      </c>
      <c r="G59" s="164">
        <f t="shared" si="4"/>
        <v>0</v>
      </c>
      <c r="H59" s="147">
        <f t="shared" si="5"/>
        <v>0</v>
      </c>
      <c r="I59" s="160">
        <f t="shared" si="1"/>
        <v>0</v>
      </c>
      <c r="J59" s="160"/>
      <c r="K59" s="335"/>
      <c r="L59" s="162">
        <f t="shared" si="6"/>
        <v>0</v>
      </c>
      <c r="M59" s="335"/>
      <c r="N59" s="162">
        <f t="shared" si="7"/>
        <v>0</v>
      </c>
      <c r="O59" s="162">
        <f t="shared" si="8"/>
        <v>0</v>
      </c>
      <c r="P59" s="4"/>
    </row>
    <row r="60" spans="2:16">
      <c r="B60" s="9" t="str">
        <f t="shared" si="0"/>
        <v/>
      </c>
      <c r="C60" s="157">
        <f>IF(D11="","-",+C59+1)</f>
        <v>2058</v>
      </c>
      <c r="D60" s="433">
        <f>IF(F59+SUM(E$17:E59)=D$10,F59,D$10-SUM(E$17:E59))</f>
        <v>0</v>
      </c>
      <c r="E60" s="164">
        <f t="shared" si="2"/>
        <v>0</v>
      </c>
      <c r="F60" s="203">
        <f t="shared" si="3"/>
        <v>0</v>
      </c>
      <c r="G60" s="164">
        <f t="shared" si="4"/>
        <v>0</v>
      </c>
      <c r="H60" s="147">
        <f t="shared" si="5"/>
        <v>0</v>
      </c>
      <c r="I60" s="160">
        <f t="shared" si="1"/>
        <v>0</v>
      </c>
      <c r="J60" s="160"/>
      <c r="K60" s="335"/>
      <c r="L60" s="162">
        <f t="shared" si="6"/>
        <v>0</v>
      </c>
      <c r="M60" s="335"/>
      <c r="N60" s="162">
        <f t="shared" si="7"/>
        <v>0</v>
      </c>
      <c r="O60" s="162">
        <f t="shared" si="8"/>
        <v>0</v>
      </c>
      <c r="P60" s="4"/>
    </row>
    <row r="61" spans="2:16">
      <c r="B61" s="9" t="str">
        <f t="shared" si="0"/>
        <v/>
      </c>
      <c r="C61" s="157">
        <f>IF(D11="","-",+C60+1)</f>
        <v>2059</v>
      </c>
      <c r="D61" s="433">
        <f>IF(F60+SUM(E$17:E60)=D$10,F60,D$10-SUM(E$17:E60))</f>
        <v>0</v>
      </c>
      <c r="E61" s="164">
        <f t="shared" si="2"/>
        <v>0</v>
      </c>
      <c r="F61" s="203">
        <f t="shared" si="3"/>
        <v>0</v>
      </c>
      <c r="G61" s="164">
        <f t="shared" si="4"/>
        <v>0</v>
      </c>
      <c r="H61" s="147">
        <f t="shared" si="5"/>
        <v>0</v>
      </c>
      <c r="I61" s="160">
        <f t="shared" si="1"/>
        <v>0</v>
      </c>
      <c r="J61" s="160"/>
      <c r="K61" s="335"/>
      <c r="L61" s="162">
        <f t="shared" si="6"/>
        <v>0</v>
      </c>
      <c r="M61" s="335"/>
      <c r="N61" s="162">
        <f t="shared" si="7"/>
        <v>0</v>
      </c>
      <c r="O61" s="162">
        <f t="shared" si="8"/>
        <v>0</v>
      </c>
      <c r="P61" s="4"/>
    </row>
    <row r="62" spans="2:16">
      <c r="B62" s="9" t="str">
        <f t="shared" si="0"/>
        <v/>
      </c>
      <c r="C62" s="157">
        <f>IF(D11="","-",+C61+1)</f>
        <v>2060</v>
      </c>
      <c r="D62" s="433">
        <f>IF(F61+SUM(E$17:E61)=D$10,F61,D$10-SUM(E$17:E61))</f>
        <v>0</v>
      </c>
      <c r="E62" s="164">
        <f t="shared" si="2"/>
        <v>0</v>
      </c>
      <c r="F62" s="203">
        <f t="shared" si="3"/>
        <v>0</v>
      </c>
      <c r="G62" s="164">
        <f t="shared" si="4"/>
        <v>0</v>
      </c>
      <c r="H62" s="147">
        <f t="shared" si="5"/>
        <v>0</v>
      </c>
      <c r="I62" s="160">
        <f t="shared" si="1"/>
        <v>0</v>
      </c>
      <c r="J62" s="160"/>
      <c r="K62" s="335"/>
      <c r="L62" s="162">
        <f t="shared" si="6"/>
        <v>0</v>
      </c>
      <c r="M62" s="335"/>
      <c r="N62" s="162">
        <f t="shared" si="7"/>
        <v>0</v>
      </c>
      <c r="O62" s="162">
        <f t="shared" si="8"/>
        <v>0</v>
      </c>
      <c r="P62" s="4"/>
    </row>
    <row r="63" spans="2:16">
      <c r="B63" s="9" t="str">
        <f t="shared" si="0"/>
        <v/>
      </c>
      <c r="C63" s="157">
        <f>IF(D11="","-",+C62+1)</f>
        <v>2061</v>
      </c>
      <c r="D63" s="433">
        <f>IF(F62+SUM(E$17:E62)=D$10,F62,D$10-SUM(E$17:E62))</f>
        <v>0</v>
      </c>
      <c r="E63" s="164">
        <f t="shared" si="2"/>
        <v>0</v>
      </c>
      <c r="F63" s="203">
        <f t="shared" si="3"/>
        <v>0</v>
      </c>
      <c r="G63" s="164">
        <f t="shared" si="4"/>
        <v>0</v>
      </c>
      <c r="H63" s="147">
        <f t="shared" si="5"/>
        <v>0</v>
      </c>
      <c r="I63" s="160">
        <f t="shared" si="1"/>
        <v>0</v>
      </c>
      <c r="J63" s="160"/>
      <c r="K63" s="335"/>
      <c r="L63" s="162">
        <f t="shared" si="6"/>
        <v>0</v>
      </c>
      <c r="M63" s="335"/>
      <c r="N63" s="162">
        <f t="shared" si="7"/>
        <v>0</v>
      </c>
      <c r="O63" s="162">
        <f t="shared" si="8"/>
        <v>0</v>
      </c>
      <c r="P63" s="4"/>
    </row>
    <row r="64" spans="2:16">
      <c r="B64" s="9" t="str">
        <f t="shared" si="0"/>
        <v/>
      </c>
      <c r="C64" s="157">
        <f>IF(D11="","-",+C63+1)</f>
        <v>2062</v>
      </c>
      <c r="D64" s="433">
        <f>IF(F63+SUM(E$17:E63)=D$10,F63,D$10-SUM(E$17:E63))</f>
        <v>0</v>
      </c>
      <c r="E64" s="164">
        <f t="shared" si="2"/>
        <v>0</v>
      </c>
      <c r="F64" s="203">
        <f t="shared" si="3"/>
        <v>0</v>
      </c>
      <c r="G64" s="164">
        <f t="shared" si="4"/>
        <v>0</v>
      </c>
      <c r="H64" s="147">
        <f t="shared" si="5"/>
        <v>0</v>
      </c>
      <c r="I64" s="160">
        <f t="shared" si="1"/>
        <v>0</v>
      </c>
      <c r="J64" s="160"/>
      <c r="K64" s="335"/>
      <c r="L64" s="162">
        <f t="shared" si="6"/>
        <v>0</v>
      </c>
      <c r="M64" s="335"/>
      <c r="N64" s="162">
        <f t="shared" si="7"/>
        <v>0</v>
      </c>
      <c r="O64" s="162">
        <f t="shared" si="8"/>
        <v>0</v>
      </c>
      <c r="P64" s="4"/>
    </row>
    <row r="65" spans="2:16">
      <c r="B65" s="9" t="str">
        <f t="shared" si="0"/>
        <v/>
      </c>
      <c r="C65" s="157">
        <f>IF(D11="","-",+C64+1)</f>
        <v>2063</v>
      </c>
      <c r="D65" s="433">
        <f>IF(F64+SUM(E$17:E64)=D$10,F64,D$10-SUM(E$17:E64))</f>
        <v>0</v>
      </c>
      <c r="E65" s="164">
        <f t="shared" si="2"/>
        <v>0</v>
      </c>
      <c r="F65" s="203">
        <f t="shared" si="3"/>
        <v>0</v>
      </c>
      <c r="G65" s="164">
        <f t="shared" si="4"/>
        <v>0</v>
      </c>
      <c r="H65" s="147">
        <f t="shared" si="5"/>
        <v>0</v>
      </c>
      <c r="I65" s="160">
        <f t="shared" si="1"/>
        <v>0</v>
      </c>
      <c r="J65" s="160"/>
      <c r="K65" s="335"/>
      <c r="L65" s="162">
        <f t="shared" si="6"/>
        <v>0</v>
      </c>
      <c r="M65" s="335"/>
      <c r="N65" s="162">
        <f t="shared" si="7"/>
        <v>0</v>
      </c>
      <c r="O65" s="162">
        <f t="shared" si="8"/>
        <v>0</v>
      </c>
      <c r="P65" s="4"/>
    </row>
    <row r="66" spans="2:16">
      <c r="B66" s="9" t="str">
        <f t="shared" si="0"/>
        <v/>
      </c>
      <c r="C66" s="157">
        <f>IF(D11="","-",+C65+1)</f>
        <v>2064</v>
      </c>
      <c r="D66" s="433">
        <f>IF(F65+SUM(E$17:E65)=D$10,F65,D$10-SUM(E$17:E65))</f>
        <v>0</v>
      </c>
      <c r="E66" s="164">
        <f t="shared" si="2"/>
        <v>0</v>
      </c>
      <c r="F66" s="203">
        <f t="shared" si="3"/>
        <v>0</v>
      </c>
      <c r="G66" s="164">
        <f t="shared" si="4"/>
        <v>0</v>
      </c>
      <c r="H66" s="147">
        <f t="shared" si="5"/>
        <v>0</v>
      </c>
      <c r="I66" s="160">
        <f t="shared" si="1"/>
        <v>0</v>
      </c>
      <c r="J66" s="160"/>
      <c r="K66" s="335"/>
      <c r="L66" s="162">
        <f t="shared" si="6"/>
        <v>0</v>
      </c>
      <c r="M66" s="335"/>
      <c r="N66" s="162">
        <f t="shared" si="7"/>
        <v>0</v>
      </c>
      <c r="O66" s="162">
        <f t="shared" si="8"/>
        <v>0</v>
      </c>
      <c r="P66" s="4"/>
    </row>
    <row r="67" spans="2:16">
      <c r="B67" s="9" t="str">
        <f t="shared" si="0"/>
        <v/>
      </c>
      <c r="C67" s="157">
        <f>IF(D11="","-",+C66+1)</f>
        <v>2065</v>
      </c>
      <c r="D67" s="433">
        <f>IF(F66+SUM(E$17:E66)=D$10,F66,D$10-SUM(E$17:E66))</f>
        <v>0</v>
      </c>
      <c r="E67" s="164">
        <f t="shared" si="2"/>
        <v>0</v>
      </c>
      <c r="F67" s="203">
        <f t="shared" si="3"/>
        <v>0</v>
      </c>
      <c r="G67" s="164">
        <f t="shared" si="4"/>
        <v>0</v>
      </c>
      <c r="H67" s="147">
        <f t="shared" si="5"/>
        <v>0</v>
      </c>
      <c r="I67" s="160">
        <f t="shared" si="1"/>
        <v>0</v>
      </c>
      <c r="J67" s="160"/>
      <c r="K67" s="335"/>
      <c r="L67" s="162">
        <f t="shared" si="6"/>
        <v>0</v>
      </c>
      <c r="M67" s="335"/>
      <c r="N67" s="162">
        <f t="shared" si="7"/>
        <v>0</v>
      </c>
      <c r="O67" s="162">
        <f t="shared" si="8"/>
        <v>0</v>
      </c>
      <c r="P67" s="4"/>
    </row>
    <row r="68" spans="2:16">
      <c r="B68" s="9" t="str">
        <f t="shared" si="0"/>
        <v/>
      </c>
      <c r="C68" s="157">
        <f>IF(D11="","-",+C67+1)</f>
        <v>2066</v>
      </c>
      <c r="D68" s="433">
        <f>IF(F67+SUM(E$17:E67)=D$10,F67,D$10-SUM(E$17:E67))</f>
        <v>0</v>
      </c>
      <c r="E68" s="164">
        <f t="shared" si="2"/>
        <v>0</v>
      </c>
      <c r="F68" s="203">
        <f t="shared" si="3"/>
        <v>0</v>
      </c>
      <c r="G68" s="164">
        <f t="shared" si="4"/>
        <v>0</v>
      </c>
      <c r="H68" s="147">
        <f t="shared" si="5"/>
        <v>0</v>
      </c>
      <c r="I68" s="160">
        <f t="shared" si="1"/>
        <v>0</v>
      </c>
      <c r="J68" s="160"/>
      <c r="K68" s="335"/>
      <c r="L68" s="162">
        <f t="shared" si="6"/>
        <v>0</v>
      </c>
      <c r="M68" s="335"/>
      <c r="N68" s="162">
        <f t="shared" si="7"/>
        <v>0</v>
      </c>
      <c r="O68" s="162">
        <f t="shared" si="8"/>
        <v>0</v>
      </c>
      <c r="P68" s="4"/>
    </row>
    <row r="69" spans="2:16">
      <c r="B69" s="9" t="str">
        <f t="shared" si="0"/>
        <v/>
      </c>
      <c r="C69" s="157">
        <f>IF(D11="","-",+C68+1)</f>
        <v>2067</v>
      </c>
      <c r="D69" s="433">
        <f>IF(F68+SUM(E$17:E68)=D$10,F68,D$10-SUM(E$17:E68))</f>
        <v>0</v>
      </c>
      <c r="E69" s="164">
        <f t="shared" si="2"/>
        <v>0</v>
      </c>
      <c r="F69" s="203">
        <f t="shared" si="3"/>
        <v>0</v>
      </c>
      <c r="G69" s="164">
        <f t="shared" si="4"/>
        <v>0</v>
      </c>
      <c r="H69" s="147">
        <f t="shared" si="5"/>
        <v>0</v>
      </c>
      <c r="I69" s="160">
        <f t="shared" si="1"/>
        <v>0</v>
      </c>
      <c r="J69" s="160"/>
      <c r="K69" s="335"/>
      <c r="L69" s="162">
        <f t="shared" si="6"/>
        <v>0</v>
      </c>
      <c r="M69" s="335"/>
      <c r="N69" s="162">
        <f t="shared" si="7"/>
        <v>0</v>
      </c>
      <c r="O69" s="162">
        <f t="shared" si="8"/>
        <v>0</v>
      </c>
      <c r="P69" s="4"/>
    </row>
    <row r="70" spans="2:16">
      <c r="B70" s="9" t="str">
        <f t="shared" si="0"/>
        <v/>
      </c>
      <c r="C70" s="157">
        <f>IF(D11="","-",+C69+1)</f>
        <v>2068</v>
      </c>
      <c r="D70" s="433">
        <f>IF(F69+SUM(E$17:E69)=D$10,F69,D$10-SUM(E$17:E69))</f>
        <v>0</v>
      </c>
      <c r="E70" s="164">
        <f t="shared" si="2"/>
        <v>0</v>
      </c>
      <c r="F70" s="203">
        <f t="shared" si="3"/>
        <v>0</v>
      </c>
      <c r="G70" s="164">
        <f t="shared" si="4"/>
        <v>0</v>
      </c>
      <c r="H70" s="147">
        <f t="shared" si="5"/>
        <v>0</v>
      </c>
      <c r="I70" s="160">
        <f t="shared" si="1"/>
        <v>0</v>
      </c>
      <c r="J70" s="160"/>
      <c r="K70" s="335"/>
      <c r="L70" s="162">
        <f t="shared" si="6"/>
        <v>0</v>
      </c>
      <c r="M70" s="335"/>
      <c r="N70" s="162">
        <f t="shared" si="7"/>
        <v>0</v>
      </c>
      <c r="O70" s="162">
        <f t="shared" si="8"/>
        <v>0</v>
      </c>
      <c r="P70" s="4"/>
    </row>
    <row r="71" spans="2:16">
      <c r="B71" s="9" t="str">
        <f t="shared" si="0"/>
        <v/>
      </c>
      <c r="C71" s="157">
        <f>IF(D11="","-",+C70+1)</f>
        <v>2069</v>
      </c>
      <c r="D71" s="433">
        <f>IF(F70+SUM(E$17:E70)=D$10,F70,D$10-SUM(E$17:E70))</f>
        <v>0</v>
      </c>
      <c r="E71" s="164">
        <f t="shared" si="2"/>
        <v>0</v>
      </c>
      <c r="F71" s="203">
        <f t="shared" si="3"/>
        <v>0</v>
      </c>
      <c r="G71" s="164">
        <f t="shared" si="4"/>
        <v>0</v>
      </c>
      <c r="H71" s="147">
        <f t="shared" si="5"/>
        <v>0</v>
      </c>
      <c r="I71" s="160">
        <f t="shared" si="1"/>
        <v>0</v>
      </c>
      <c r="J71" s="160"/>
      <c r="K71" s="335"/>
      <c r="L71" s="162">
        <f t="shared" si="6"/>
        <v>0</v>
      </c>
      <c r="M71" s="335"/>
      <c r="N71" s="162">
        <f t="shared" si="7"/>
        <v>0</v>
      </c>
      <c r="O71" s="162">
        <f t="shared" si="8"/>
        <v>0</v>
      </c>
      <c r="P71" s="4"/>
    </row>
    <row r="72" spans="2:16" ht="13.5" thickBot="1">
      <c r="B72" s="9" t="str">
        <f t="shared" si="0"/>
        <v/>
      </c>
      <c r="C72" s="168">
        <f>IF(D11="","-",+C71+1)</f>
        <v>2070</v>
      </c>
      <c r="D72" s="388">
        <f>IF(F71+SUM(E$17:E71)=D$10,F71,D$10-SUM(E$17:E71))</f>
        <v>0</v>
      </c>
      <c r="E72" s="170">
        <f t="shared" si="2"/>
        <v>0</v>
      </c>
      <c r="F72" s="483">
        <f t="shared" si="3"/>
        <v>0</v>
      </c>
      <c r="G72" s="170">
        <f t="shared" si="4"/>
        <v>0</v>
      </c>
      <c r="H72" s="169">
        <f t="shared" si="5"/>
        <v>0</v>
      </c>
      <c r="I72" s="172">
        <f t="shared" si="1"/>
        <v>0</v>
      </c>
      <c r="J72" s="160"/>
      <c r="K72" s="336"/>
      <c r="L72" s="173">
        <f t="shared" si="6"/>
        <v>0</v>
      </c>
      <c r="M72" s="336"/>
      <c r="N72" s="173">
        <f t="shared" si="7"/>
        <v>0</v>
      </c>
      <c r="O72" s="173">
        <f t="shared" si="8"/>
        <v>0</v>
      </c>
      <c r="P72" s="4"/>
    </row>
    <row r="73" spans="2:16">
      <c r="C73" s="158" t="s">
        <v>72</v>
      </c>
      <c r="D73" s="115"/>
      <c r="E73" s="115">
        <f>SUM(E17:E72)</f>
        <v>1692022.9999999998</v>
      </c>
      <c r="F73" s="115"/>
      <c r="G73" s="115">
        <f>SUM(G17:G72)</f>
        <v>5941197.7288755942</v>
      </c>
      <c r="H73" s="115">
        <f>SUM(H17:H72)</f>
        <v>5941197.7288755942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17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243079.10869565216</v>
      </c>
      <c r="N87" s="202">
        <f>IF(J92&lt;D11,0,VLOOKUP(J92,C17:O72,11))</f>
        <v>243079.10869565216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244421.35953995908</v>
      </c>
      <c r="N88" s="204">
        <f>IF(J92&lt;D11,0,VLOOKUP(J92,C99:P154,7))</f>
        <v>244421.35953995908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Grady Customer Connection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1342.2508443069237</v>
      </c>
      <c r="N89" s="207">
        <f>+N88-N87</f>
        <v>1342.2508443069237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TP1300201</v>
      </c>
      <c r="E91" s="210" t="str">
        <f>E9</f>
        <v xml:space="preserve">  SPP Project ID = 30748</v>
      </c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451">
        <v>1692023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2015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36783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 ht="13.5" thickBot="1">
      <c r="C99" s="157">
        <f>IF(D93= "","-",D93)</f>
        <v>2015</v>
      </c>
      <c r="D99" s="436">
        <v>0</v>
      </c>
      <c r="E99" s="441">
        <v>0</v>
      </c>
      <c r="F99" s="436">
        <v>1625288</v>
      </c>
      <c r="G99" s="441">
        <v>812644</v>
      </c>
      <c r="H99" s="439">
        <v>110878.7398202499</v>
      </c>
      <c r="I99" s="316">
        <v>110878.7398202499</v>
      </c>
      <c r="J99" s="162">
        <f>+I99-H99</f>
        <v>0</v>
      </c>
      <c r="K99" s="162"/>
      <c r="L99" s="337">
        <f>+H99</f>
        <v>110878.7398202499</v>
      </c>
      <c r="M99" s="161">
        <f t="shared" ref="M99:M130" si="9">IF(L99&lt;&gt;0,+H99-L99,0)</f>
        <v>0</v>
      </c>
      <c r="N99" s="337">
        <f>+I99</f>
        <v>110878.7398202499</v>
      </c>
      <c r="O99" s="161">
        <f t="shared" ref="O99:O130" si="10">IF(N99&lt;&gt;0,+I99-N99,0)</f>
        <v>0</v>
      </c>
      <c r="P99" s="161">
        <f t="shared" ref="P99:P130" si="11">+O99-M99</f>
        <v>0</v>
      </c>
    </row>
    <row r="100" spans="1:16">
      <c r="B100" s="9" t="str">
        <f>IF(D100=F99,"","IU")</f>
        <v>IU</v>
      </c>
      <c r="C100" s="157">
        <f>IF(D93="","-",+C99+1)</f>
        <v>2016</v>
      </c>
      <c r="D100" s="436">
        <v>1692023</v>
      </c>
      <c r="E100" s="441">
        <v>36783</v>
      </c>
      <c r="F100" s="436">
        <v>1655240</v>
      </c>
      <c r="G100" s="441">
        <v>1673631.5</v>
      </c>
      <c r="H100" s="439">
        <v>252540.45816220198</v>
      </c>
      <c r="I100" s="316">
        <v>252540.45816220198</v>
      </c>
      <c r="J100" s="162">
        <v>0</v>
      </c>
      <c r="K100" s="162"/>
      <c r="L100" s="337">
        <f>+H100</f>
        <v>252540.45816220198</v>
      </c>
      <c r="M100" s="161">
        <f>IF(L100&lt;&gt;0,+H100-L100,0)</f>
        <v>0</v>
      </c>
      <c r="N100" s="337">
        <f>+I100</f>
        <v>252540.45816220198</v>
      </c>
      <c r="O100" s="161">
        <f>IF(N100&lt;&gt;0,+I100-N100,0)</f>
        <v>0</v>
      </c>
      <c r="P100" s="161">
        <f>+O100-M100</f>
        <v>0</v>
      </c>
    </row>
    <row r="101" spans="1:16">
      <c r="B101" s="9" t="str">
        <f t="shared" ref="B101:B154" si="12">IF(D101=F100,"","IU")</f>
        <v/>
      </c>
      <c r="C101" s="157">
        <f>IF(D93="","-",+C100+1)</f>
        <v>2017</v>
      </c>
      <c r="D101" s="158">
        <f>IF(F100+SUM(E$99:E100)=D$92,F100,D$92-SUM(E$99:E100))</f>
        <v>1655240</v>
      </c>
      <c r="E101" s="164">
        <f t="shared" ref="E101:E154" si="13">IF(+J$96&lt;F100,J$96,D101)</f>
        <v>36783</v>
      </c>
      <c r="F101" s="163">
        <f t="shared" ref="F101:F154" si="14">+D101-E101</f>
        <v>1618457</v>
      </c>
      <c r="G101" s="163">
        <f t="shared" ref="G101:G154" si="15">+(F101+D101)/2</f>
        <v>1636848.5</v>
      </c>
      <c r="H101" s="167">
        <f t="shared" ref="H101:H154" si="16">+J$94*G101+E101</f>
        <v>244421.35953995908</v>
      </c>
      <c r="I101" s="317">
        <f t="shared" ref="I101:I154" si="17">+J$95*G101+E101</f>
        <v>244421.35953995908</v>
      </c>
      <c r="J101" s="162">
        <f t="shared" ref="J101:J154" si="18">+I101-H101</f>
        <v>0</v>
      </c>
      <c r="K101" s="162"/>
      <c r="L101" s="335"/>
      <c r="M101" s="162">
        <f t="shared" si="9"/>
        <v>0</v>
      </c>
      <c r="N101" s="335"/>
      <c r="O101" s="162">
        <f t="shared" si="10"/>
        <v>0</v>
      </c>
      <c r="P101" s="162">
        <f t="shared" si="11"/>
        <v>0</v>
      </c>
    </row>
    <row r="102" spans="1:16">
      <c r="B102" s="9" t="str">
        <f t="shared" si="12"/>
        <v/>
      </c>
      <c r="C102" s="157">
        <f>IF(D93="","-",+C101+1)</f>
        <v>2018</v>
      </c>
      <c r="D102" s="158">
        <f>IF(F101+SUM(E$99:E101)=D$92,F101,D$92-SUM(E$99:E101))</f>
        <v>1618457</v>
      </c>
      <c r="E102" s="164">
        <f t="shared" si="13"/>
        <v>36783</v>
      </c>
      <c r="F102" s="163">
        <f t="shared" si="14"/>
        <v>1581674</v>
      </c>
      <c r="G102" s="163">
        <f t="shared" si="15"/>
        <v>1600065.5</v>
      </c>
      <c r="H102" s="167">
        <f t="shared" si="16"/>
        <v>239755.34324159162</v>
      </c>
      <c r="I102" s="317">
        <f t="shared" si="17"/>
        <v>239755.34324159162</v>
      </c>
      <c r="J102" s="162">
        <f t="shared" si="18"/>
        <v>0</v>
      </c>
      <c r="K102" s="162"/>
      <c r="L102" s="335"/>
      <c r="M102" s="162">
        <f t="shared" si="9"/>
        <v>0</v>
      </c>
      <c r="N102" s="335"/>
      <c r="O102" s="162">
        <f t="shared" si="10"/>
        <v>0</v>
      </c>
      <c r="P102" s="162">
        <f t="shared" si="11"/>
        <v>0</v>
      </c>
    </row>
    <row r="103" spans="1:16">
      <c r="B103" s="9" t="str">
        <f t="shared" si="12"/>
        <v/>
      </c>
      <c r="C103" s="157">
        <f>IF(D93="","-",+C102+1)</f>
        <v>2019</v>
      </c>
      <c r="D103" s="158">
        <f>IF(F102+SUM(E$99:E102)=D$92,F102,D$92-SUM(E$99:E102))</f>
        <v>1581674</v>
      </c>
      <c r="E103" s="164">
        <f t="shared" si="13"/>
        <v>36783</v>
      </c>
      <c r="F103" s="163">
        <f t="shared" si="14"/>
        <v>1544891</v>
      </c>
      <c r="G103" s="163">
        <f t="shared" si="15"/>
        <v>1563282.5</v>
      </c>
      <c r="H103" s="167">
        <f t="shared" si="16"/>
        <v>235089.32694322418</v>
      </c>
      <c r="I103" s="317">
        <f t="shared" si="17"/>
        <v>235089.32694322418</v>
      </c>
      <c r="J103" s="162">
        <f t="shared" si="18"/>
        <v>0</v>
      </c>
      <c r="K103" s="162"/>
      <c r="L103" s="335"/>
      <c r="M103" s="162">
        <f t="shared" si="9"/>
        <v>0</v>
      </c>
      <c r="N103" s="335"/>
      <c r="O103" s="162">
        <f t="shared" si="10"/>
        <v>0</v>
      </c>
      <c r="P103" s="162">
        <f t="shared" si="11"/>
        <v>0</v>
      </c>
    </row>
    <row r="104" spans="1:16">
      <c r="B104" s="9" t="str">
        <f t="shared" si="12"/>
        <v/>
      </c>
      <c r="C104" s="157">
        <f>IF(D93="","-",+C103+1)</f>
        <v>2020</v>
      </c>
      <c r="D104" s="158">
        <f>IF(F103+SUM(E$99:E103)=D$92,F103,D$92-SUM(E$99:E103))</f>
        <v>1544891</v>
      </c>
      <c r="E104" s="164">
        <f t="shared" si="13"/>
        <v>36783</v>
      </c>
      <c r="F104" s="163">
        <f t="shared" si="14"/>
        <v>1508108</v>
      </c>
      <c r="G104" s="163">
        <f t="shared" si="15"/>
        <v>1526499.5</v>
      </c>
      <c r="H104" s="167">
        <f t="shared" si="16"/>
        <v>230423.31064485671</v>
      </c>
      <c r="I104" s="317">
        <f t="shared" si="17"/>
        <v>230423.31064485671</v>
      </c>
      <c r="J104" s="162">
        <f t="shared" si="18"/>
        <v>0</v>
      </c>
      <c r="K104" s="162"/>
      <c r="L104" s="335"/>
      <c r="M104" s="162">
        <f t="shared" si="9"/>
        <v>0</v>
      </c>
      <c r="N104" s="335"/>
      <c r="O104" s="162">
        <f t="shared" si="10"/>
        <v>0</v>
      </c>
      <c r="P104" s="162">
        <f t="shared" si="11"/>
        <v>0</v>
      </c>
    </row>
    <row r="105" spans="1:16">
      <c r="B105" s="9" t="str">
        <f t="shared" si="12"/>
        <v/>
      </c>
      <c r="C105" s="157">
        <f>IF(D93="","-",+C104+1)</f>
        <v>2021</v>
      </c>
      <c r="D105" s="158">
        <f>IF(F104+SUM(E$99:E104)=D$92,F104,D$92-SUM(E$99:E104))</f>
        <v>1508108</v>
      </c>
      <c r="E105" s="164">
        <f t="shared" si="13"/>
        <v>36783</v>
      </c>
      <c r="F105" s="163">
        <f t="shared" si="14"/>
        <v>1471325</v>
      </c>
      <c r="G105" s="163">
        <f t="shared" si="15"/>
        <v>1489716.5</v>
      </c>
      <c r="H105" s="167">
        <f t="shared" si="16"/>
        <v>225757.29434648927</v>
      </c>
      <c r="I105" s="317">
        <f t="shared" si="17"/>
        <v>225757.29434648927</v>
      </c>
      <c r="J105" s="162">
        <f t="shared" si="18"/>
        <v>0</v>
      </c>
      <c r="K105" s="162"/>
      <c r="L105" s="335"/>
      <c r="M105" s="162">
        <f t="shared" si="9"/>
        <v>0</v>
      </c>
      <c r="N105" s="335"/>
      <c r="O105" s="162">
        <f t="shared" si="10"/>
        <v>0</v>
      </c>
      <c r="P105" s="162">
        <f t="shared" si="11"/>
        <v>0</v>
      </c>
    </row>
    <row r="106" spans="1:16">
      <c r="B106" s="9" t="str">
        <f t="shared" si="12"/>
        <v/>
      </c>
      <c r="C106" s="157">
        <f>IF(D93="","-",+C105+1)</f>
        <v>2022</v>
      </c>
      <c r="D106" s="158">
        <f>IF(F105+SUM(E$99:E105)=D$92,F105,D$92-SUM(E$99:E105))</f>
        <v>1471325</v>
      </c>
      <c r="E106" s="164">
        <f t="shared" si="13"/>
        <v>36783</v>
      </c>
      <c r="F106" s="163">
        <f t="shared" si="14"/>
        <v>1434542</v>
      </c>
      <c r="G106" s="163">
        <f t="shared" si="15"/>
        <v>1452933.5</v>
      </c>
      <c r="H106" s="167">
        <f t="shared" si="16"/>
        <v>221091.27804812181</v>
      </c>
      <c r="I106" s="317">
        <f t="shared" si="17"/>
        <v>221091.27804812181</v>
      </c>
      <c r="J106" s="162">
        <f t="shared" si="18"/>
        <v>0</v>
      </c>
      <c r="K106" s="162"/>
      <c r="L106" s="335"/>
      <c r="M106" s="162">
        <f t="shared" si="9"/>
        <v>0</v>
      </c>
      <c r="N106" s="335"/>
      <c r="O106" s="162">
        <f t="shared" si="10"/>
        <v>0</v>
      </c>
      <c r="P106" s="162">
        <f t="shared" si="11"/>
        <v>0</v>
      </c>
    </row>
    <row r="107" spans="1:16">
      <c r="B107" s="9" t="str">
        <f t="shared" si="12"/>
        <v/>
      </c>
      <c r="C107" s="157">
        <f>IF(D93="","-",+C106+1)</f>
        <v>2023</v>
      </c>
      <c r="D107" s="158">
        <f>IF(F106+SUM(E$99:E106)=D$92,F106,D$92-SUM(E$99:E106))</f>
        <v>1434542</v>
      </c>
      <c r="E107" s="164">
        <f t="shared" si="13"/>
        <v>36783</v>
      </c>
      <c r="F107" s="163">
        <f t="shared" si="14"/>
        <v>1397759</v>
      </c>
      <c r="G107" s="163">
        <f t="shared" si="15"/>
        <v>1416150.5</v>
      </c>
      <c r="H107" s="167">
        <f t="shared" si="16"/>
        <v>216425.26174975437</v>
      </c>
      <c r="I107" s="317">
        <f t="shared" si="17"/>
        <v>216425.26174975437</v>
      </c>
      <c r="J107" s="162">
        <f t="shared" si="18"/>
        <v>0</v>
      </c>
      <c r="K107" s="162"/>
      <c r="L107" s="335"/>
      <c r="M107" s="162">
        <f t="shared" si="9"/>
        <v>0</v>
      </c>
      <c r="N107" s="335"/>
      <c r="O107" s="162">
        <f t="shared" si="10"/>
        <v>0</v>
      </c>
      <c r="P107" s="162">
        <f t="shared" si="11"/>
        <v>0</v>
      </c>
    </row>
    <row r="108" spans="1:16">
      <c r="B108" s="9" t="str">
        <f t="shared" si="12"/>
        <v/>
      </c>
      <c r="C108" s="157">
        <f>IF(D93="","-",+C107+1)</f>
        <v>2024</v>
      </c>
      <c r="D108" s="158">
        <f>IF(F107+SUM(E$99:E107)=D$92,F107,D$92-SUM(E$99:E107))</f>
        <v>1397759</v>
      </c>
      <c r="E108" s="164">
        <f t="shared" si="13"/>
        <v>36783</v>
      </c>
      <c r="F108" s="163">
        <f t="shared" si="14"/>
        <v>1360976</v>
      </c>
      <c r="G108" s="163">
        <f t="shared" si="15"/>
        <v>1379367.5</v>
      </c>
      <c r="H108" s="167">
        <f t="shared" si="16"/>
        <v>211759.2454513869</v>
      </c>
      <c r="I108" s="317">
        <f t="shared" si="17"/>
        <v>211759.2454513869</v>
      </c>
      <c r="J108" s="162">
        <f t="shared" si="18"/>
        <v>0</v>
      </c>
      <c r="K108" s="162"/>
      <c r="L108" s="335"/>
      <c r="M108" s="162">
        <f t="shared" si="9"/>
        <v>0</v>
      </c>
      <c r="N108" s="335"/>
      <c r="O108" s="162">
        <f t="shared" si="10"/>
        <v>0</v>
      </c>
      <c r="P108" s="162">
        <f t="shared" si="11"/>
        <v>0</v>
      </c>
    </row>
    <row r="109" spans="1:16">
      <c r="B109" s="9" t="str">
        <f t="shared" si="12"/>
        <v/>
      </c>
      <c r="C109" s="157">
        <f>IF(D93="","-",+C108+1)</f>
        <v>2025</v>
      </c>
      <c r="D109" s="158">
        <f>IF(F108+SUM(E$99:E108)=D$92,F108,D$92-SUM(E$99:E108))</f>
        <v>1360976</v>
      </c>
      <c r="E109" s="164">
        <f t="shared" si="13"/>
        <v>36783</v>
      </c>
      <c r="F109" s="163">
        <f t="shared" si="14"/>
        <v>1324193</v>
      </c>
      <c r="G109" s="163">
        <f t="shared" si="15"/>
        <v>1342584.5</v>
      </c>
      <c r="H109" s="167">
        <f t="shared" si="16"/>
        <v>207093.22915301946</v>
      </c>
      <c r="I109" s="317">
        <f t="shared" si="17"/>
        <v>207093.22915301946</v>
      </c>
      <c r="J109" s="162">
        <f t="shared" si="18"/>
        <v>0</v>
      </c>
      <c r="K109" s="162"/>
      <c r="L109" s="335"/>
      <c r="M109" s="162">
        <f t="shared" si="9"/>
        <v>0</v>
      </c>
      <c r="N109" s="335"/>
      <c r="O109" s="162">
        <f t="shared" si="10"/>
        <v>0</v>
      </c>
      <c r="P109" s="162">
        <f t="shared" si="11"/>
        <v>0</v>
      </c>
    </row>
    <row r="110" spans="1:16">
      <c r="B110" s="9" t="str">
        <f t="shared" si="12"/>
        <v/>
      </c>
      <c r="C110" s="157">
        <f>IF(D93="","-",+C109+1)</f>
        <v>2026</v>
      </c>
      <c r="D110" s="158">
        <f>IF(F109+SUM(E$99:E109)=D$92,F109,D$92-SUM(E$99:E109))</f>
        <v>1324193</v>
      </c>
      <c r="E110" s="164">
        <f t="shared" si="13"/>
        <v>36783</v>
      </c>
      <c r="F110" s="163">
        <f t="shared" si="14"/>
        <v>1287410</v>
      </c>
      <c r="G110" s="163">
        <f t="shared" si="15"/>
        <v>1305801.5</v>
      </c>
      <c r="H110" s="167">
        <f t="shared" si="16"/>
        <v>202427.21285465203</v>
      </c>
      <c r="I110" s="317">
        <f t="shared" si="17"/>
        <v>202427.21285465203</v>
      </c>
      <c r="J110" s="162">
        <f t="shared" si="18"/>
        <v>0</v>
      </c>
      <c r="K110" s="162"/>
      <c r="L110" s="335"/>
      <c r="M110" s="162">
        <f t="shared" si="9"/>
        <v>0</v>
      </c>
      <c r="N110" s="335"/>
      <c r="O110" s="162">
        <f t="shared" si="10"/>
        <v>0</v>
      </c>
      <c r="P110" s="162">
        <f t="shared" si="11"/>
        <v>0</v>
      </c>
    </row>
    <row r="111" spans="1:16">
      <c r="B111" s="9" t="str">
        <f t="shared" si="12"/>
        <v/>
      </c>
      <c r="C111" s="157">
        <f>IF(D93="","-",+C110+1)</f>
        <v>2027</v>
      </c>
      <c r="D111" s="158">
        <f>IF(F110+SUM(E$99:E110)=D$92,F110,D$92-SUM(E$99:E110))</f>
        <v>1287410</v>
      </c>
      <c r="E111" s="164">
        <f t="shared" si="13"/>
        <v>36783</v>
      </c>
      <c r="F111" s="163">
        <f t="shared" si="14"/>
        <v>1250627</v>
      </c>
      <c r="G111" s="163">
        <f t="shared" si="15"/>
        <v>1269018.5</v>
      </c>
      <c r="H111" s="167">
        <f t="shared" si="16"/>
        <v>197761.19655628456</v>
      </c>
      <c r="I111" s="317">
        <f t="shared" si="17"/>
        <v>197761.19655628456</v>
      </c>
      <c r="J111" s="162">
        <f t="shared" si="18"/>
        <v>0</v>
      </c>
      <c r="K111" s="162"/>
      <c r="L111" s="335"/>
      <c r="M111" s="162">
        <f t="shared" si="9"/>
        <v>0</v>
      </c>
      <c r="N111" s="335"/>
      <c r="O111" s="162">
        <f t="shared" si="10"/>
        <v>0</v>
      </c>
      <c r="P111" s="162">
        <f t="shared" si="11"/>
        <v>0</v>
      </c>
    </row>
    <row r="112" spans="1:16">
      <c r="B112" s="9" t="str">
        <f t="shared" si="12"/>
        <v/>
      </c>
      <c r="C112" s="157">
        <f>IF(D93="","-",+C111+1)</f>
        <v>2028</v>
      </c>
      <c r="D112" s="158">
        <f>IF(F111+SUM(E$99:E111)=D$92,F111,D$92-SUM(E$99:E111))</f>
        <v>1250627</v>
      </c>
      <c r="E112" s="164">
        <f t="shared" si="13"/>
        <v>36783</v>
      </c>
      <c r="F112" s="163">
        <f t="shared" si="14"/>
        <v>1213844</v>
      </c>
      <c r="G112" s="163">
        <f t="shared" si="15"/>
        <v>1232235.5</v>
      </c>
      <c r="H112" s="167">
        <f t="shared" si="16"/>
        <v>193095.18025791712</v>
      </c>
      <c r="I112" s="317">
        <f t="shared" si="17"/>
        <v>193095.18025791712</v>
      </c>
      <c r="J112" s="162">
        <f t="shared" si="18"/>
        <v>0</v>
      </c>
      <c r="K112" s="162"/>
      <c r="L112" s="335"/>
      <c r="M112" s="162">
        <f t="shared" si="9"/>
        <v>0</v>
      </c>
      <c r="N112" s="335"/>
      <c r="O112" s="162">
        <f t="shared" si="10"/>
        <v>0</v>
      </c>
      <c r="P112" s="162">
        <f t="shared" si="11"/>
        <v>0</v>
      </c>
    </row>
    <row r="113" spans="2:16">
      <c r="B113" s="9" t="str">
        <f t="shared" si="12"/>
        <v/>
      </c>
      <c r="C113" s="157">
        <f>IF(D93="","-",+C112+1)</f>
        <v>2029</v>
      </c>
      <c r="D113" s="158">
        <f>IF(F112+SUM(E$99:E112)=D$92,F112,D$92-SUM(E$99:E112))</f>
        <v>1213844</v>
      </c>
      <c r="E113" s="164">
        <f t="shared" si="13"/>
        <v>36783</v>
      </c>
      <c r="F113" s="163">
        <f t="shared" si="14"/>
        <v>1177061</v>
      </c>
      <c r="G113" s="163">
        <f t="shared" si="15"/>
        <v>1195452.5</v>
      </c>
      <c r="H113" s="167">
        <f t="shared" si="16"/>
        <v>188429.16395954965</v>
      </c>
      <c r="I113" s="317">
        <f t="shared" si="17"/>
        <v>188429.16395954965</v>
      </c>
      <c r="J113" s="162">
        <f t="shared" si="18"/>
        <v>0</v>
      </c>
      <c r="K113" s="162"/>
      <c r="L113" s="335"/>
      <c r="M113" s="162">
        <f t="shared" si="9"/>
        <v>0</v>
      </c>
      <c r="N113" s="335"/>
      <c r="O113" s="162">
        <f t="shared" si="10"/>
        <v>0</v>
      </c>
      <c r="P113" s="162">
        <f t="shared" si="11"/>
        <v>0</v>
      </c>
    </row>
    <row r="114" spans="2:16">
      <c r="B114" s="9" t="str">
        <f t="shared" si="12"/>
        <v/>
      </c>
      <c r="C114" s="157">
        <f>IF(D93="","-",+C113+1)</f>
        <v>2030</v>
      </c>
      <c r="D114" s="158">
        <f>IF(F113+SUM(E$99:E113)=D$92,F113,D$92-SUM(E$99:E113))</f>
        <v>1177061</v>
      </c>
      <c r="E114" s="164">
        <f t="shared" si="13"/>
        <v>36783</v>
      </c>
      <c r="F114" s="163">
        <f t="shared" si="14"/>
        <v>1140278</v>
      </c>
      <c r="G114" s="163">
        <f t="shared" si="15"/>
        <v>1158669.5</v>
      </c>
      <c r="H114" s="167">
        <f t="shared" si="16"/>
        <v>183763.14766118221</v>
      </c>
      <c r="I114" s="317">
        <f t="shared" si="17"/>
        <v>183763.14766118221</v>
      </c>
      <c r="J114" s="162">
        <f t="shared" si="18"/>
        <v>0</v>
      </c>
      <c r="K114" s="162"/>
      <c r="L114" s="335"/>
      <c r="M114" s="162">
        <f t="shared" si="9"/>
        <v>0</v>
      </c>
      <c r="N114" s="335"/>
      <c r="O114" s="162">
        <f t="shared" si="10"/>
        <v>0</v>
      </c>
      <c r="P114" s="162">
        <f t="shared" si="11"/>
        <v>0</v>
      </c>
    </row>
    <row r="115" spans="2:16">
      <c r="B115" s="9" t="str">
        <f t="shared" si="12"/>
        <v/>
      </c>
      <c r="C115" s="157">
        <f>IF(D93="","-",+C114+1)</f>
        <v>2031</v>
      </c>
      <c r="D115" s="158">
        <f>IF(F114+SUM(E$99:E114)=D$92,F114,D$92-SUM(E$99:E114))</f>
        <v>1140278</v>
      </c>
      <c r="E115" s="164">
        <f t="shared" si="13"/>
        <v>36783</v>
      </c>
      <c r="F115" s="163">
        <f t="shared" si="14"/>
        <v>1103495</v>
      </c>
      <c r="G115" s="163">
        <f t="shared" si="15"/>
        <v>1121886.5</v>
      </c>
      <c r="H115" s="167">
        <f t="shared" si="16"/>
        <v>179097.13136281475</v>
      </c>
      <c r="I115" s="317">
        <f t="shared" si="17"/>
        <v>179097.13136281475</v>
      </c>
      <c r="J115" s="162">
        <f t="shared" si="18"/>
        <v>0</v>
      </c>
      <c r="K115" s="162"/>
      <c r="L115" s="335"/>
      <c r="M115" s="162">
        <f t="shared" si="9"/>
        <v>0</v>
      </c>
      <c r="N115" s="335"/>
      <c r="O115" s="162">
        <f t="shared" si="10"/>
        <v>0</v>
      </c>
      <c r="P115" s="162">
        <f t="shared" si="11"/>
        <v>0</v>
      </c>
    </row>
    <row r="116" spans="2:16">
      <c r="B116" s="9" t="str">
        <f t="shared" si="12"/>
        <v/>
      </c>
      <c r="C116" s="157">
        <f>IF(D93="","-",+C115+1)</f>
        <v>2032</v>
      </c>
      <c r="D116" s="158">
        <f>IF(F115+SUM(E$99:E115)=D$92,F115,D$92-SUM(E$99:E115))</f>
        <v>1103495</v>
      </c>
      <c r="E116" s="164">
        <f t="shared" si="13"/>
        <v>36783</v>
      </c>
      <c r="F116" s="163">
        <f t="shared" si="14"/>
        <v>1066712</v>
      </c>
      <c r="G116" s="163">
        <f t="shared" si="15"/>
        <v>1085103.5</v>
      </c>
      <c r="H116" s="167">
        <f t="shared" si="16"/>
        <v>174431.11506444731</v>
      </c>
      <c r="I116" s="317">
        <f t="shared" si="17"/>
        <v>174431.11506444731</v>
      </c>
      <c r="J116" s="162">
        <f t="shared" si="18"/>
        <v>0</v>
      </c>
      <c r="K116" s="162"/>
      <c r="L116" s="335"/>
      <c r="M116" s="162">
        <f t="shared" si="9"/>
        <v>0</v>
      </c>
      <c r="N116" s="335"/>
      <c r="O116" s="162">
        <f t="shared" si="10"/>
        <v>0</v>
      </c>
      <c r="P116" s="162">
        <f t="shared" si="11"/>
        <v>0</v>
      </c>
    </row>
    <row r="117" spans="2:16">
      <c r="B117" s="9" t="str">
        <f t="shared" si="12"/>
        <v/>
      </c>
      <c r="C117" s="157">
        <f>IF(D93="","-",+C116+1)</f>
        <v>2033</v>
      </c>
      <c r="D117" s="158">
        <f>IF(F116+SUM(E$99:E116)=D$92,F116,D$92-SUM(E$99:E116))</f>
        <v>1066712</v>
      </c>
      <c r="E117" s="164">
        <f t="shared" si="13"/>
        <v>36783</v>
      </c>
      <c r="F117" s="163">
        <f t="shared" si="14"/>
        <v>1029929</v>
      </c>
      <c r="G117" s="163">
        <f t="shared" si="15"/>
        <v>1048320.5</v>
      </c>
      <c r="H117" s="167">
        <f t="shared" si="16"/>
        <v>169765.09876607987</v>
      </c>
      <c r="I117" s="317">
        <f t="shared" si="17"/>
        <v>169765.09876607987</v>
      </c>
      <c r="J117" s="162">
        <f t="shared" si="18"/>
        <v>0</v>
      </c>
      <c r="K117" s="162"/>
      <c r="L117" s="335"/>
      <c r="M117" s="162">
        <f t="shared" si="9"/>
        <v>0</v>
      </c>
      <c r="N117" s="335"/>
      <c r="O117" s="162">
        <f t="shared" si="10"/>
        <v>0</v>
      </c>
      <c r="P117" s="162">
        <f t="shared" si="11"/>
        <v>0</v>
      </c>
    </row>
    <row r="118" spans="2:16">
      <c r="B118" s="9" t="str">
        <f t="shared" si="12"/>
        <v/>
      </c>
      <c r="C118" s="157">
        <f>IF(D93="","-",+C117+1)</f>
        <v>2034</v>
      </c>
      <c r="D118" s="158">
        <f>IF(F117+SUM(E$99:E117)=D$92,F117,D$92-SUM(E$99:E117))</f>
        <v>1029929</v>
      </c>
      <c r="E118" s="164">
        <f t="shared" si="13"/>
        <v>36783</v>
      </c>
      <c r="F118" s="163">
        <f t="shared" si="14"/>
        <v>993146</v>
      </c>
      <c r="G118" s="163">
        <f t="shared" si="15"/>
        <v>1011537.5</v>
      </c>
      <c r="H118" s="167">
        <f t="shared" si="16"/>
        <v>165099.0824677124</v>
      </c>
      <c r="I118" s="317">
        <f t="shared" si="17"/>
        <v>165099.0824677124</v>
      </c>
      <c r="J118" s="162">
        <f t="shared" si="18"/>
        <v>0</v>
      </c>
      <c r="K118" s="162"/>
      <c r="L118" s="335"/>
      <c r="M118" s="162">
        <f t="shared" si="9"/>
        <v>0</v>
      </c>
      <c r="N118" s="335"/>
      <c r="O118" s="162">
        <f t="shared" si="10"/>
        <v>0</v>
      </c>
      <c r="P118" s="162">
        <f t="shared" si="11"/>
        <v>0</v>
      </c>
    </row>
    <row r="119" spans="2:16">
      <c r="B119" s="9" t="str">
        <f t="shared" si="12"/>
        <v/>
      </c>
      <c r="C119" s="157">
        <f>IF(D93="","-",+C118+1)</f>
        <v>2035</v>
      </c>
      <c r="D119" s="158">
        <f>IF(F118+SUM(E$99:E118)=D$92,F118,D$92-SUM(E$99:E118))</f>
        <v>993146</v>
      </c>
      <c r="E119" s="164">
        <f t="shared" si="13"/>
        <v>36783</v>
      </c>
      <c r="F119" s="163">
        <f t="shared" si="14"/>
        <v>956363</v>
      </c>
      <c r="G119" s="163">
        <f t="shared" si="15"/>
        <v>974754.5</v>
      </c>
      <c r="H119" s="167">
        <f t="shared" si="16"/>
        <v>160433.06616934494</v>
      </c>
      <c r="I119" s="317">
        <f t="shared" si="17"/>
        <v>160433.06616934494</v>
      </c>
      <c r="J119" s="162">
        <f t="shared" si="18"/>
        <v>0</v>
      </c>
      <c r="K119" s="162"/>
      <c r="L119" s="335"/>
      <c r="M119" s="162">
        <f t="shared" si="9"/>
        <v>0</v>
      </c>
      <c r="N119" s="335"/>
      <c r="O119" s="162">
        <f t="shared" si="10"/>
        <v>0</v>
      </c>
      <c r="P119" s="162">
        <f t="shared" si="11"/>
        <v>0</v>
      </c>
    </row>
    <row r="120" spans="2:16">
      <c r="B120" s="9" t="str">
        <f t="shared" si="12"/>
        <v/>
      </c>
      <c r="C120" s="157">
        <f>IF(D93="","-",+C119+1)</f>
        <v>2036</v>
      </c>
      <c r="D120" s="158">
        <f>IF(F119+SUM(E$99:E119)=D$92,F119,D$92-SUM(E$99:E119))</f>
        <v>956363</v>
      </c>
      <c r="E120" s="164">
        <f t="shared" si="13"/>
        <v>36783</v>
      </c>
      <c r="F120" s="163">
        <f t="shared" si="14"/>
        <v>919580</v>
      </c>
      <c r="G120" s="163">
        <f t="shared" si="15"/>
        <v>937971.5</v>
      </c>
      <c r="H120" s="167">
        <f t="shared" si="16"/>
        <v>155767.0498709775</v>
      </c>
      <c r="I120" s="317">
        <f t="shared" si="17"/>
        <v>155767.0498709775</v>
      </c>
      <c r="J120" s="162">
        <f t="shared" si="18"/>
        <v>0</v>
      </c>
      <c r="K120" s="162"/>
      <c r="L120" s="335"/>
      <c r="M120" s="162">
        <f t="shared" si="9"/>
        <v>0</v>
      </c>
      <c r="N120" s="335"/>
      <c r="O120" s="162">
        <f t="shared" si="10"/>
        <v>0</v>
      </c>
      <c r="P120" s="162">
        <f t="shared" si="11"/>
        <v>0</v>
      </c>
    </row>
    <row r="121" spans="2:16">
      <c r="B121" s="9" t="str">
        <f t="shared" si="12"/>
        <v/>
      </c>
      <c r="C121" s="157">
        <f>IF(D93="","-",+C120+1)</f>
        <v>2037</v>
      </c>
      <c r="D121" s="158">
        <f>IF(F120+SUM(E$99:E120)=D$92,F120,D$92-SUM(E$99:E120))</f>
        <v>919580</v>
      </c>
      <c r="E121" s="164">
        <f t="shared" si="13"/>
        <v>36783</v>
      </c>
      <c r="F121" s="163">
        <f t="shared" si="14"/>
        <v>882797</v>
      </c>
      <c r="G121" s="163">
        <f t="shared" si="15"/>
        <v>901188.5</v>
      </c>
      <c r="H121" s="167">
        <f t="shared" si="16"/>
        <v>151101.03357261006</v>
      </c>
      <c r="I121" s="317">
        <f t="shared" si="17"/>
        <v>151101.03357261006</v>
      </c>
      <c r="J121" s="162">
        <f t="shared" si="18"/>
        <v>0</v>
      </c>
      <c r="K121" s="162"/>
      <c r="L121" s="335"/>
      <c r="M121" s="162">
        <f t="shared" si="9"/>
        <v>0</v>
      </c>
      <c r="N121" s="335"/>
      <c r="O121" s="162">
        <f t="shared" si="10"/>
        <v>0</v>
      </c>
      <c r="P121" s="162">
        <f t="shared" si="11"/>
        <v>0</v>
      </c>
    </row>
    <row r="122" spans="2:16">
      <c r="B122" s="9" t="str">
        <f t="shared" si="12"/>
        <v/>
      </c>
      <c r="C122" s="157">
        <f>IF(D93="","-",+C121+1)</f>
        <v>2038</v>
      </c>
      <c r="D122" s="158">
        <f>IF(F121+SUM(E$99:E121)=D$92,F121,D$92-SUM(E$99:E121))</f>
        <v>882797</v>
      </c>
      <c r="E122" s="164">
        <f t="shared" si="13"/>
        <v>36783</v>
      </c>
      <c r="F122" s="163">
        <f t="shared" si="14"/>
        <v>846014</v>
      </c>
      <c r="G122" s="163">
        <f t="shared" si="15"/>
        <v>864405.5</v>
      </c>
      <c r="H122" s="167">
        <f t="shared" si="16"/>
        <v>146435.01727424259</v>
      </c>
      <c r="I122" s="317">
        <f t="shared" si="17"/>
        <v>146435.01727424259</v>
      </c>
      <c r="J122" s="162">
        <f t="shared" si="18"/>
        <v>0</v>
      </c>
      <c r="K122" s="162"/>
      <c r="L122" s="335"/>
      <c r="M122" s="162">
        <f t="shared" si="9"/>
        <v>0</v>
      </c>
      <c r="N122" s="335"/>
      <c r="O122" s="162">
        <f t="shared" si="10"/>
        <v>0</v>
      </c>
      <c r="P122" s="162">
        <f t="shared" si="11"/>
        <v>0</v>
      </c>
    </row>
    <row r="123" spans="2:16">
      <c r="B123" s="9" t="str">
        <f t="shared" si="12"/>
        <v/>
      </c>
      <c r="C123" s="157">
        <f>IF(D93="","-",+C122+1)</f>
        <v>2039</v>
      </c>
      <c r="D123" s="158">
        <f>IF(F122+SUM(E$99:E122)=D$92,F122,D$92-SUM(E$99:E122))</f>
        <v>846014</v>
      </c>
      <c r="E123" s="164">
        <f t="shared" si="13"/>
        <v>36783</v>
      </c>
      <c r="F123" s="163">
        <f t="shared" si="14"/>
        <v>809231</v>
      </c>
      <c r="G123" s="163">
        <f t="shared" si="15"/>
        <v>827622.5</v>
      </c>
      <c r="H123" s="167">
        <f t="shared" si="16"/>
        <v>141769.00097587515</v>
      </c>
      <c r="I123" s="317">
        <f t="shared" si="17"/>
        <v>141769.00097587515</v>
      </c>
      <c r="J123" s="162">
        <f t="shared" si="18"/>
        <v>0</v>
      </c>
      <c r="K123" s="162"/>
      <c r="L123" s="335"/>
      <c r="M123" s="162">
        <f t="shared" si="9"/>
        <v>0</v>
      </c>
      <c r="N123" s="335"/>
      <c r="O123" s="162">
        <f t="shared" si="10"/>
        <v>0</v>
      </c>
      <c r="P123" s="162">
        <f t="shared" si="11"/>
        <v>0</v>
      </c>
    </row>
    <row r="124" spans="2:16">
      <c r="B124" s="9" t="str">
        <f t="shared" si="12"/>
        <v/>
      </c>
      <c r="C124" s="157">
        <f>IF(D93="","-",+C123+1)</f>
        <v>2040</v>
      </c>
      <c r="D124" s="158">
        <f>IF(F123+SUM(E$99:E123)=D$92,F123,D$92-SUM(E$99:E123))</f>
        <v>809231</v>
      </c>
      <c r="E124" s="164">
        <f t="shared" si="13"/>
        <v>36783</v>
      </c>
      <c r="F124" s="163">
        <f t="shared" si="14"/>
        <v>772448</v>
      </c>
      <c r="G124" s="163">
        <f t="shared" si="15"/>
        <v>790839.5</v>
      </c>
      <c r="H124" s="167">
        <f t="shared" si="16"/>
        <v>137102.98467750772</v>
      </c>
      <c r="I124" s="317">
        <f t="shared" si="17"/>
        <v>137102.98467750772</v>
      </c>
      <c r="J124" s="162">
        <f t="shared" si="18"/>
        <v>0</v>
      </c>
      <c r="K124" s="162"/>
      <c r="L124" s="335"/>
      <c r="M124" s="162">
        <f t="shared" si="9"/>
        <v>0</v>
      </c>
      <c r="N124" s="335"/>
      <c r="O124" s="162">
        <f t="shared" si="10"/>
        <v>0</v>
      </c>
      <c r="P124" s="162">
        <f t="shared" si="11"/>
        <v>0</v>
      </c>
    </row>
    <row r="125" spans="2:16">
      <c r="B125" s="9" t="str">
        <f t="shared" si="12"/>
        <v/>
      </c>
      <c r="C125" s="157">
        <f>IF(D93="","-",+C124+1)</f>
        <v>2041</v>
      </c>
      <c r="D125" s="158">
        <f>IF(F124+SUM(E$99:E124)=D$92,F124,D$92-SUM(E$99:E124))</f>
        <v>772448</v>
      </c>
      <c r="E125" s="164">
        <f t="shared" si="13"/>
        <v>36783</v>
      </c>
      <c r="F125" s="163">
        <f t="shared" si="14"/>
        <v>735665</v>
      </c>
      <c r="G125" s="163">
        <f t="shared" si="15"/>
        <v>754056.5</v>
      </c>
      <c r="H125" s="167">
        <f t="shared" si="16"/>
        <v>132436.96837914025</v>
      </c>
      <c r="I125" s="317">
        <f t="shared" si="17"/>
        <v>132436.96837914025</v>
      </c>
      <c r="J125" s="162">
        <f t="shared" si="18"/>
        <v>0</v>
      </c>
      <c r="K125" s="162"/>
      <c r="L125" s="335"/>
      <c r="M125" s="162">
        <f t="shared" si="9"/>
        <v>0</v>
      </c>
      <c r="N125" s="335"/>
      <c r="O125" s="162">
        <f t="shared" si="10"/>
        <v>0</v>
      </c>
      <c r="P125" s="162">
        <f t="shared" si="11"/>
        <v>0</v>
      </c>
    </row>
    <row r="126" spans="2:16">
      <c r="B126" s="9" t="str">
        <f t="shared" si="12"/>
        <v/>
      </c>
      <c r="C126" s="157">
        <f>IF(D93="","-",+C125+1)</f>
        <v>2042</v>
      </c>
      <c r="D126" s="158">
        <f>IF(F125+SUM(E$99:E125)=D$92,F125,D$92-SUM(E$99:E125))</f>
        <v>735665</v>
      </c>
      <c r="E126" s="164">
        <f t="shared" si="13"/>
        <v>36783</v>
      </c>
      <c r="F126" s="163">
        <f t="shared" si="14"/>
        <v>698882</v>
      </c>
      <c r="G126" s="163">
        <f t="shared" si="15"/>
        <v>717273.5</v>
      </c>
      <c r="H126" s="167">
        <f t="shared" si="16"/>
        <v>127770.9520807728</v>
      </c>
      <c r="I126" s="317">
        <f t="shared" si="17"/>
        <v>127770.9520807728</v>
      </c>
      <c r="J126" s="162">
        <f t="shared" si="18"/>
        <v>0</v>
      </c>
      <c r="K126" s="162"/>
      <c r="L126" s="335"/>
      <c r="M126" s="162">
        <f t="shared" si="9"/>
        <v>0</v>
      </c>
      <c r="N126" s="335"/>
      <c r="O126" s="162">
        <f t="shared" si="10"/>
        <v>0</v>
      </c>
      <c r="P126" s="162">
        <f t="shared" si="11"/>
        <v>0</v>
      </c>
    </row>
    <row r="127" spans="2:16">
      <c r="B127" s="9" t="str">
        <f t="shared" si="12"/>
        <v/>
      </c>
      <c r="C127" s="157">
        <f>IF(D93="","-",+C126+1)</f>
        <v>2043</v>
      </c>
      <c r="D127" s="158">
        <f>IF(F126+SUM(E$99:E126)=D$92,F126,D$92-SUM(E$99:E126))</f>
        <v>698882</v>
      </c>
      <c r="E127" s="164">
        <f t="shared" si="13"/>
        <v>36783</v>
      </c>
      <c r="F127" s="163">
        <f t="shared" si="14"/>
        <v>662099</v>
      </c>
      <c r="G127" s="163">
        <f t="shared" si="15"/>
        <v>680490.5</v>
      </c>
      <c r="H127" s="167">
        <f t="shared" si="16"/>
        <v>123104.93578240534</v>
      </c>
      <c r="I127" s="317">
        <f t="shared" si="17"/>
        <v>123104.93578240534</v>
      </c>
      <c r="J127" s="162">
        <f t="shared" si="18"/>
        <v>0</v>
      </c>
      <c r="K127" s="162"/>
      <c r="L127" s="335"/>
      <c r="M127" s="162">
        <f t="shared" si="9"/>
        <v>0</v>
      </c>
      <c r="N127" s="335"/>
      <c r="O127" s="162">
        <f t="shared" si="10"/>
        <v>0</v>
      </c>
      <c r="P127" s="162">
        <f t="shared" si="11"/>
        <v>0</v>
      </c>
    </row>
    <row r="128" spans="2:16">
      <c r="B128" s="9" t="str">
        <f t="shared" si="12"/>
        <v/>
      </c>
      <c r="C128" s="157">
        <f>IF(D93="","-",+C127+1)</f>
        <v>2044</v>
      </c>
      <c r="D128" s="158">
        <f>IF(F127+SUM(E$99:E127)=D$92,F127,D$92-SUM(E$99:E127))</f>
        <v>662099</v>
      </c>
      <c r="E128" s="164">
        <f t="shared" si="13"/>
        <v>36783</v>
      </c>
      <c r="F128" s="163">
        <f t="shared" si="14"/>
        <v>625316</v>
      </c>
      <c r="G128" s="163">
        <f t="shared" si="15"/>
        <v>643707.5</v>
      </c>
      <c r="H128" s="167">
        <f t="shared" si="16"/>
        <v>118438.91948403789</v>
      </c>
      <c r="I128" s="317">
        <f t="shared" si="17"/>
        <v>118438.91948403789</v>
      </c>
      <c r="J128" s="162">
        <f t="shared" si="18"/>
        <v>0</v>
      </c>
      <c r="K128" s="162"/>
      <c r="L128" s="335"/>
      <c r="M128" s="162">
        <f t="shared" si="9"/>
        <v>0</v>
      </c>
      <c r="N128" s="335"/>
      <c r="O128" s="162">
        <f t="shared" si="10"/>
        <v>0</v>
      </c>
      <c r="P128" s="162">
        <f t="shared" si="11"/>
        <v>0</v>
      </c>
    </row>
    <row r="129" spans="2:16">
      <c r="B129" s="9" t="str">
        <f t="shared" si="12"/>
        <v/>
      </c>
      <c r="C129" s="157">
        <f>IF(D93="","-",+C128+1)</f>
        <v>2045</v>
      </c>
      <c r="D129" s="158">
        <f>IF(F128+SUM(E$99:E128)=D$92,F128,D$92-SUM(E$99:E128))</f>
        <v>625316</v>
      </c>
      <c r="E129" s="164">
        <f t="shared" si="13"/>
        <v>36783</v>
      </c>
      <c r="F129" s="163">
        <f t="shared" si="14"/>
        <v>588533</v>
      </c>
      <c r="G129" s="163">
        <f t="shared" si="15"/>
        <v>606924.5</v>
      </c>
      <c r="H129" s="167">
        <f t="shared" si="16"/>
        <v>113772.90318567044</v>
      </c>
      <c r="I129" s="317">
        <f t="shared" si="17"/>
        <v>113772.90318567044</v>
      </c>
      <c r="J129" s="162">
        <f t="shared" si="18"/>
        <v>0</v>
      </c>
      <c r="K129" s="162"/>
      <c r="L129" s="335"/>
      <c r="M129" s="162">
        <f t="shared" si="9"/>
        <v>0</v>
      </c>
      <c r="N129" s="335"/>
      <c r="O129" s="162">
        <f t="shared" si="10"/>
        <v>0</v>
      </c>
      <c r="P129" s="162">
        <f t="shared" si="11"/>
        <v>0</v>
      </c>
    </row>
    <row r="130" spans="2:16">
      <c r="B130" s="9" t="str">
        <f t="shared" si="12"/>
        <v/>
      </c>
      <c r="C130" s="157">
        <f>IF(D93="","-",+C129+1)</f>
        <v>2046</v>
      </c>
      <c r="D130" s="158">
        <f>IF(F129+SUM(E$99:E129)=D$92,F129,D$92-SUM(E$99:E129))</f>
        <v>588533</v>
      </c>
      <c r="E130" s="164">
        <f t="shared" si="13"/>
        <v>36783</v>
      </c>
      <c r="F130" s="163">
        <f t="shared" si="14"/>
        <v>551750</v>
      </c>
      <c r="G130" s="163">
        <f t="shared" si="15"/>
        <v>570141.5</v>
      </c>
      <c r="H130" s="167">
        <f t="shared" si="16"/>
        <v>109106.886887303</v>
      </c>
      <c r="I130" s="317">
        <f t="shared" si="17"/>
        <v>109106.886887303</v>
      </c>
      <c r="J130" s="162">
        <f t="shared" si="18"/>
        <v>0</v>
      </c>
      <c r="K130" s="162"/>
      <c r="L130" s="335"/>
      <c r="M130" s="162">
        <f t="shared" si="9"/>
        <v>0</v>
      </c>
      <c r="N130" s="335"/>
      <c r="O130" s="162">
        <f t="shared" si="10"/>
        <v>0</v>
      </c>
      <c r="P130" s="162">
        <f t="shared" si="11"/>
        <v>0</v>
      </c>
    </row>
    <row r="131" spans="2:16">
      <c r="B131" s="9" t="str">
        <f t="shared" si="12"/>
        <v/>
      </c>
      <c r="C131" s="157">
        <f>IF(D93="","-",+C130+1)</f>
        <v>2047</v>
      </c>
      <c r="D131" s="158">
        <f>IF(F130+SUM(E$99:E130)=D$92,F130,D$92-SUM(E$99:E130))</f>
        <v>551750</v>
      </c>
      <c r="E131" s="164">
        <f t="shared" si="13"/>
        <v>36783</v>
      </c>
      <c r="F131" s="163">
        <f t="shared" si="14"/>
        <v>514967</v>
      </c>
      <c r="G131" s="163">
        <f t="shared" si="15"/>
        <v>533358.5</v>
      </c>
      <c r="H131" s="167">
        <f t="shared" si="16"/>
        <v>104440.87058893555</v>
      </c>
      <c r="I131" s="317">
        <f t="shared" si="17"/>
        <v>104440.87058893555</v>
      </c>
      <c r="J131" s="162">
        <f t="shared" si="18"/>
        <v>0</v>
      </c>
      <c r="K131" s="162"/>
      <c r="L131" s="335"/>
      <c r="M131" s="162">
        <f t="shared" ref="M131:M154" si="19">IF(L541&lt;&gt;0,+H541-L541,0)</f>
        <v>0</v>
      </c>
      <c r="N131" s="335"/>
      <c r="O131" s="162">
        <f t="shared" ref="O131:O154" si="20">IF(N541&lt;&gt;0,+I541-N541,0)</f>
        <v>0</v>
      </c>
      <c r="P131" s="162">
        <f t="shared" ref="P131:P154" si="21">+O541-M541</f>
        <v>0</v>
      </c>
    </row>
    <row r="132" spans="2:16">
      <c r="B132" s="9" t="str">
        <f t="shared" si="12"/>
        <v/>
      </c>
      <c r="C132" s="157">
        <f>IF(D93="","-",+C131+1)</f>
        <v>2048</v>
      </c>
      <c r="D132" s="158">
        <f>IF(F131+SUM(E$99:E131)=D$92,F131,D$92-SUM(E$99:E131))</f>
        <v>514967</v>
      </c>
      <c r="E132" s="164">
        <f t="shared" si="13"/>
        <v>36783</v>
      </c>
      <c r="F132" s="163">
        <f t="shared" si="14"/>
        <v>478184</v>
      </c>
      <c r="G132" s="163">
        <f t="shared" si="15"/>
        <v>496575.5</v>
      </c>
      <c r="H132" s="167">
        <f t="shared" si="16"/>
        <v>99774.854290568095</v>
      </c>
      <c r="I132" s="317">
        <f t="shared" si="17"/>
        <v>99774.854290568095</v>
      </c>
      <c r="J132" s="162">
        <f t="shared" si="18"/>
        <v>0</v>
      </c>
      <c r="K132" s="162"/>
      <c r="L132" s="335"/>
      <c r="M132" s="162">
        <f t="shared" si="19"/>
        <v>0</v>
      </c>
      <c r="N132" s="335"/>
      <c r="O132" s="162">
        <f t="shared" si="20"/>
        <v>0</v>
      </c>
      <c r="P132" s="162">
        <f t="shared" si="21"/>
        <v>0</v>
      </c>
    </row>
    <row r="133" spans="2:16">
      <c r="B133" s="9" t="str">
        <f t="shared" si="12"/>
        <v/>
      </c>
      <c r="C133" s="157">
        <f>IF(D93="","-",+C132+1)</f>
        <v>2049</v>
      </c>
      <c r="D133" s="158">
        <f>IF(F132+SUM(E$99:E132)=D$92,F132,D$92-SUM(E$99:E132))</f>
        <v>478184</v>
      </c>
      <c r="E133" s="164">
        <f t="shared" si="13"/>
        <v>36783</v>
      </c>
      <c r="F133" s="163">
        <f t="shared" si="14"/>
        <v>441401</v>
      </c>
      <c r="G133" s="163">
        <f t="shared" si="15"/>
        <v>459792.5</v>
      </c>
      <c r="H133" s="167">
        <f t="shared" si="16"/>
        <v>95108.837992200642</v>
      </c>
      <c r="I133" s="317">
        <f t="shared" si="17"/>
        <v>95108.837992200642</v>
      </c>
      <c r="J133" s="162">
        <f t="shared" si="18"/>
        <v>0</v>
      </c>
      <c r="K133" s="162"/>
      <c r="L133" s="335"/>
      <c r="M133" s="162">
        <f t="shared" si="19"/>
        <v>0</v>
      </c>
      <c r="N133" s="335"/>
      <c r="O133" s="162">
        <f t="shared" si="20"/>
        <v>0</v>
      </c>
      <c r="P133" s="162">
        <f t="shared" si="21"/>
        <v>0</v>
      </c>
    </row>
    <row r="134" spans="2:16">
      <c r="B134" s="9" t="str">
        <f t="shared" si="12"/>
        <v/>
      </c>
      <c r="C134" s="157">
        <f>IF(D93="","-",+C133+1)</f>
        <v>2050</v>
      </c>
      <c r="D134" s="158">
        <f>IF(F133+SUM(E$99:E133)=D$92,F133,D$92-SUM(E$99:E133))</f>
        <v>441401</v>
      </c>
      <c r="E134" s="164">
        <f t="shared" si="13"/>
        <v>36783</v>
      </c>
      <c r="F134" s="163">
        <f t="shared" si="14"/>
        <v>404618</v>
      </c>
      <c r="G134" s="163">
        <f t="shared" si="15"/>
        <v>423009.5</v>
      </c>
      <c r="H134" s="167">
        <f t="shared" si="16"/>
        <v>90442.82169383319</v>
      </c>
      <c r="I134" s="317">
        <f t="shared" si="17"/>
        <v>90442.82169383319</v>
      </c>
      <c r="J134" s="162">
        <f t="shared" si="18"/>
        <v>0</v>
      </c>
      <c r="K134" s="162"/>
      <c r="L134" s="335"/>
      <c r="M134" s="162">
        <f t="shared" si="19"/>
        <v>0</v>
      </c>
      <c r="N134" s="335"/>
      <c r="O134" s="162">
        <f t="shared" si="20"/>
        <v>0</v>
      </c>
      <c r="P134" s="162">
        <f t="shared" si="21"/>
        <v>0</v>
      </c>
    </row>
    <row r="135" spans="2:16">
      <c r="B135" s="9" t="str">
        <f t="shared" si="12"/>
        <v/>
      </c>
      <c r="C135" s="157">
        <f>IF(D93="","-",+C134+1)</f>
        <v>2051</v>
      </c>
      <c r="D135" s="158">
        <f>IF(F134+SUM(E$99:E134)=D$92,F134,D$92-SUM(E$99:E134))</f>
        <v>404618</v>
      </c>
      <c r="E135" s="164">
        <f t="shared" si="13"/>
        <v>36783</v>
      </c>
      <c r="F135" s="163">
        <f t="shared" si="14"/>
        <v>367835</v>
      </c>
      <c r="G135" s="163">
        <f t="shared" si="15"/>
        <v>386226.5</v>
      </c>
      <c r="H135" s="167">
        <f t="shared" si="16"/>
        <v>85776.805395465737</v>
      </c>
      <c r="I135" s="317">
        <f t="shared" si="17"/>
        <v>85776.805395465737</v>
      </c>
      <c r="J135" s="162">
        <f t="shared" si="18"/>
        <v>0</v>
      </c>
      <c r="K135" s="162"/>
      <c r="L135" s="335"/>
      <c r="M135" s="162">
        <f t="shared" si="19"/>
        <v>0</v>
      </c>
      <c r="N135" s="335"/>
      <c r="O135" s="162">
        <f t="shared" si="20"/>
        <v>0</v>
      </c>
      <c r="P135" s="162">
        <f t="shared" si="21"/>
        <v>0</v>
      </c>
    </row>
    <row r="136" spans="2:16">
      <c r="B136" s="9" t="str">
        <f t="shared" si="12"/>
        <v/>
      </c>
      <c r="C136" s="157">
        <f>IF(D93="","-",+C135+1)</f>
        <v>2052</v>
      </c>
      <c r="D136" s="158">
        <f>IF(F135+SUM(E$99:E135)=D$92,F135,D$92-SUM(E$99:E135))</f>
        <v>367835</v>
      </c>
      <c r="E136" s="164">
        <f t="shared" si="13"/>
        <v>36783</v>
      </c>
      <c r="F136" s="163">
        <f t="shared" si="14"/>
        <v>331052</v>
      </c>
      <c r="G136" s="163">
        <f t="shared" si="15"/>
        <v>349443.5</v>
      </c>
      <c r="H136" s="167">
        <f t="shared" si="16"/>
        <v>81110.789097098284</v>
      </c>
      <c r="I136" s="317">
        <f t="shared" si="17"/>
        <v>81110.789097098284</v>
      </c>
      <c r="J136" s="162">
        <f t="shared" si="18"/>
        <v>0</v>
      </c>
      <c r="K136" s="162"/>
      <c r="L136" s="335"/>
      <c r="M136" s="162">
        <f t="shared" si="19"/>
        <v>0</v>
      </c>
      <c r="N136" s="335"/>
      <c r="O136" s="162">
        <f t="shared" si="20"/>
        <v>0</v>
      </c>
      <c r="P136" s="162">
        <f t="shared" si="21"/>
        <v>0</v>
      </c>
    </row>
    <row r="137" spans="2:16">
      <c r="B137" s="9" t="str">
        <f t="shared" si="12"/>
        <v/>
      </c>
      <c r="C137" s="157">
        <f>IF(D93="","-",+C136+1)</f>
        <v>2053</v>
      </c>
      <c r="D137" s="158">
        <f>IF(F136+SUM(E$99:E136)=D$92,F136,D$92-SUM(E$99:E136))</f>
        <v>331052</v>
      </c>
      <c r="E137" s="164">
        <f t="shared" si="13"/>
        <v>36783</v>
      </c>
      <c r="F137" s="163">
        <f t="shared" si="14"/>
        <v>294269</v>
      </c>
      <c r="G137" s="163">
        <f t="shared" si="15"/>
        <v>312660.5</v>
      </c>
      <c r="H137" s="167">
        <f t="shared" si="16"/>
        <v>76444.772798730846</v>
      </c>
      <c r="I137" s="317">
        <f t="shared" si="17"/>
        <v>76444.772798730846</v>
      </c>
      <c r="J137" s="162">
        <f t="shared" si="18"/>
        <v>0</v>
      </c>
      <c r="K137" s="162"/>
      <c r="L137" s="335"/>
      <c r="M137" s="162">
        <f t="shared" si="19"/>
        <v>0</v>
      </c>
      <c r="N137" s="335"/>
      <c r="O137" s="162">
        <f t="shared" si="20"/>
        <v>0</v>
      </c>
      <c r="P137" s="162">
        <f t="shared" si="21"/>
        <v>0</v>
      </c>
    </row>
    <row r="138" spans="2:16">
      <c r="B138" s="9" t="str">
        <f t="shared" si="12"/>
        <v/>
      </c>
      <c r="C138" s="157">
        <f>IF(D93="","-",+C137+1)</f>
        <v>2054</v>
      </c>
      <c r="D138" s="158">
        <f>IF(F137+SUM(E$99:E137)=D$92,F137,D$92-SUM(E$99:E137))</f>
        <v>294269</v>
      </c>
      <c r="E138" s="164">
        <f t="shared" si="13"/>
        <v>36783</v>
      </c>
      <c r="F138" s="163">
        <f t="shared" si="14"/>
        <v>257486</v>
      </c>
      <c r="G138" s="163">
        <f t="shared" si="15"/>
        <v>275877.5</v>
      </c>
      <c r="H138" s="167">
        <f t="shared" si="16"/>
        <v>71778.756500363379</v>
      </c>
      <c r="I138" s="317">
        <f t="shared" si="17"/>
        <v>71778.756500363379</v>
      </c>
      <c r="J138" s="162">
        <f t="shared" si="18"/>
        <v>0</v>
      </c>
      <c r="K138" s="162"/>
      <c r="L138" s="335"/>
      <c r="M138" s="162">
        <f t="shared" si="19"/>
        <v>0</v>
      </c>
      <c r="N138" s="335"/>
      <c r="O138" s="162">
        <f t="shared" si="20"/>
        <v>0</v>
      </c>
      <c r="P138" s="162">
        <f t="shared" si="21"/>
        <v>0</v>
      </c>
    </row>
    <row r="139" spans="2:16">
      <c r="B139" s="9" t="str">
        <f t="shared" si="12"/>
        <v/>
      </c>
      <c r="C139" s="157">
        <f>IF(D93="","-",+C138+1)</f>
        <v>2055</v>
      </c>
      <c r="D139" s="158">
        <f>IF(F138+SUM(E$99:E138)=D$92,F138,D$92-SUM(E$99:E138))</f>
        <v>257486</v>
      </c>
      <c r="E139" s="164">
        <f t="shared" si="13"/>
        <v>36783</v>
      </c>
      <c r="F139" s="163">
        <f t="shared" si="14"/>
        <v>220703</v>
      </c>
      <c r="G139" s="163">
        <f t="shared" si="15"/>
        <v>239094.5</v>
      </c>
      <c r="H139" s="167">
        <f t="shared" si="16"/>
        <v>67112.740201995941</v>
      </c>
      <c r="I139" s="317">
        <f t="shared" si="17"/>
        <v>67112.740201995941</v>
      </c>
      <c r="J139" s="162">
        <f t="shared" si="18"/>
        <v>0</v>
      </c>
      <c r="K139" s="162"/>
      <c r="L139" s="335"/>
      <c r="M139" s="162">
        <f t="shared" si="19"/>
        <v>0</v>
      </c>
      <c r="N139" s="335"/>
      <c r="O139" s="162">
        <f t="shared" si="20"/>
        <v>0</v>
      </c>
      <c r="P139" s="162">
        <f t="shared" si="21"/>
        <v>0</v>
      </c>
    </row>
    <row r="140" spans="2:16">
      <c r="B140" s="9" t="str">
        <f t="shared" si="12"/>
        <v/>
      </c>
      <c r="C140" s="157">
        <f>IF(D93="","-",+C139+1)</f>
        <v>2056</v>
      </c>
      <c r="D140" s="158">
        <f>IF(F139+SUM(E$99:E139)=D$92,F139,D$92-SUM(E$99:E139))</f>
        <v>220703</v>
      </c>
      <c r="E140" s="164">
        <f t="shared" si="13"/>
        <v>36783</v>
      </c>
      <c r="F140" s="163">
        <f t="shared" si="14"/>
        <v>183920</v>
      </c>
      <c r="G140" s="163">
        <f t="shared" si="15"/>
        <v>202311.5</v>
      </c>
      <c r="H140" s="167">
        <f t="shared" si="16"/>
        <v>62446.723903628488</v>
      </c>
      <c r="I140" s="317">
        <f t="shared" si="17"/>
        <v>62446.723903628488</v>
      </c>
      <c r="J140" s="162">
        <f t="shared" si="18"/>
        <v>0</v>
      </c>
      <c r="K140" s="162"/>
      <c r="L140" s="335"/>
      <c r="M140" s="162">
        <f t="shared" si="19"/>
        <v>0</v>
      </c>
      <c r="N140" s="335"/>
      <c r="O140" s="162">
        <f t="shared" si="20"/>
        <v>0</v>
      </c>
      <c r="P140" s="162">
        <f t="shared" si="21"/>
        <v>0</v>
      </c>
    </row>
    <row r="141" spans="2:16">
      <c r="B141" s="9" t="str">
        <f t="shared" si="12"/>
        <v/>
      </c>
      <c r="C141" s="157">
        <f>IF(D93="","-",+C140+1)</f>
        <v>2057</v>
      </c>
      <c r="D141" s="158">
        <f>IF(F140+SUM(E$99:E140)=D$92,F140,D$92-SUM(E$99:E140))</f>
        <v>183920</v>
      </c>
      <c r="E141" s="164">
        <f t="shared" si="13"/>
        <v>36783</v>
      </c>
      <c r="F141" s="163">
        <f t="shared" si="14"/>
        <v>147137</v>
      </c>
      <c r="G141" s="163">
        <f t="shared" si="15"/>
        <v>165528.5</v>
      </c>
      <c r="H141" s="167">
        <f t="shared" si="16"/>
        <v>57780.707605261035</v>
      </c>
      <c r="I141" s="317">
        <f t="shared" si="17"/>
        <v>57780.707605261035</v>
      </c>
      <c r="J141" s="162">
        <f t="shared" si="18"/>
        <v>0</v>
      </c>
      <c r="K141" s="162"/>
      <c r="L141" s="335"/>
      <c r="M141" s="162">
        <f t="shared" si="19"/>
        <v>0</v>
      </c>
      <c r="N141" s="335"/>
      <c r="O141" s="162">
        <f t="shared" si="20"/>
        <v>0</v>
      </c>
      <c r="P141" s="162">
        <f t="shared" si="21"/>
        <v>0</v>
      </c>
    </row>
    <row r="142" spans="2:16">
      <c r="B142" s="9" t="str">
        <f t="shared" si="12"/>
        <v/>
      </c>
      <c r="C142" s="157">
        <f>IF(D93="","-",+C141+1)</f>
        <v>2058</v>
      </c>
      <c r="D142" s="158">
        <f>IF(F141+SUM(E$99:E141)=D$92,F141,D$92-SUM(E$99:E141))</f>
        <v>147137</v>
      </c>
      <c r="E142" s="164">
        <f t="shared" si="13"/>
        <v>36783</v>
      </c>
      <c r="F142" s="163">
        <f t="shared" si="14"/>
        <v>110354</v>
      </c>
      <c r="G142" s="163">
        <f t="shared" si="15"/>
        <v>128745.5</v>
      </c>
      <c r="H142" s="167">
        <f t="shared" si="16"/>
        <v>53114.691306893583</v>
      </c>
      <c r="I142" s="317">
        <f t="shared" si="17"/>
        <v>53114.691306893583</v>
      </c>
      <c r="J142" s="162">
        <f t="shared" si="18"/>
        <v>0</v>
      </c>
      <c r="K142" s="162"/>
      <c r="L142" s="335"/>
      <c r="M142" s="162">
        <f t="shared" si="19"/>
        <v>0</v>
      </c>
      <c r="N142" s="335"/>
      <c r="O142" s="162">
        <f t="shared" si="20"/>
        <v>0</v>
      </c>
      <c r="P142" s="162">
        <f t="shared" si="21"/>
        <v>0</v>
      </c>
    </row>
    <row r="143" spans="2:16">
      <c r="B143" s="9" t="str">
        <f t="shared" si="12"/>
        <v/>
      </c>
      <c r="C143" s="157">
        <f>IF(D93="","-",+C142+1)</f>
        <v>2059</v>
      </c>
      <c r="D143" s="158">
        <f>IF(F142+SUM(E$99:E142)=D$92,F142,D$92-SUM(E$99:E142))</f>
        <v>110354</v>
      </c>
      <c r="E143" s="164">
        <f t="shared" si="13"/>
        <v>36783</v>
      </c>
      <c r="F143" s="163">
        <f t="shared" si="14"/>
        <v>73571</v>
      </c>
      <c r="G143" s="163">
        <f t="shared" si="15"/>
        <v>91962.5</v>
      </c>
      <c r="H143" s="167">
        <f t="shared" si="16"/>
        <v>48448.67500852613</v>
      </c>
      <c r="I143" s="317">
        <f t="shared" si="17"/>
        <v>48448.67500852613</v>
      </c>
      <c r="J143" s="162">
        <f t="shared" si="18"/>
        <v>0</v>
      </c>
      <c r="K143" s="162"/>
      <c r="L143" s="335"/>
      <c r="M143" s="162">
        <f t="shared" si="19"/>
        <v>0</v>
      </c>
      <c r="N143" s="335"/>
      <c r="O143" s="162">
        <f t="shared" si="20"/>
        <v>0</v>
      </c>
      <c r="P143" s="162">
        <f t="shared" si="21"/>
        <v>0</v>
      </c>
    </row>
    <row r="144" spans="2:16">
      <c r="B144" s="9" t="str">
        <f t="shared" si="12"/>
        <v/>
      </c>
      <c r="C144" s="157">
        <f>IF(D93="","-",+C143+1)</f>
        <v>2060</v>
      </c>
      <c r="D144" s="158">
        <f>IF(F143+SUM(E$99:E143)=D$92,F143,D$92-SUM(E$99:E143))</f>
        <v>73571</v>
      </c>
      <c r="E144" s="164">
        <f t="shared" si="13"/>
        <v>36783</v>
      </c>
      <c r="F144" s="163">
        <f t="shared" si="14"/>
        <v>36788</v>
      </c>
      <c r="G144" s="163">
        <f t="shared" si="15"/>
        <v>55179.5</v>
      </c>
      <c r="H144" s="167">
        <f t="shared" si="16"/>
        <v>43782.658710158677</v>
      </c>
      <c r="I144" s="317">
        <f t="shared" si="17"/>
        <v>43782.658710158677</v>
      </c>
      <c r="J144" s="162">
        <f t="shared" si="18"/>
        <v>0</v>
      </c>
      <c r="K144" s="162"/>
      <c r="L144" s="335"/>
      <c r="M144" s="162">
        <f t="shared" si="19"/>
        <v>0</v>
      </c>
      <c r="N144" s="335"/>
      <c r="O144" s="162">
        <f t="shared" si="20"/>
        <v>0</v>
      </c>
      <c r="P144" s="162">
        <f t="shared" si="21"/>
        <v>0</v>
      </c>
    </row>
    <row r="145" spans="2:16">
      <c r="B145" s="9" t="str">
        <f t="shared" si="12"/>
        <v/>
      </c>
      <c r="C145" s="157">
        <f>IF(D93="","-",+C144+1)</f>
        <v>2061</v>
      </c>
      <c r="D145" s="158">
        <f>IF(F144+SUM(E$99:E144)=D$92,F144,D$92-SUM(E$99:E144))</f>
        <v>36788</v>
      </c>
      <c r="E145" s="164">
        <f t="shared" si="13"/>
        <v>36783</v>
      </c>
      <c r="F145" s="163">
        <f t="shared" si="14"/>
        <v>5</v>
      </c>
      <c r="G145" s="163">
        <f t="shared" si="15"/>
        <v>18396.5</v>
      </c>
      <c r="H145" s="167">
        <f t="shared" si="16"/>
        <v>39116.642411791232</v>
      </c>
      <c r="I145" s="317">
        <f t="shared" si="17"/>
        <v>39116.642411791232</v>
      </c>
      <c r="J145" s="162">
        <f t="shared" si="18"/>
        <v>0</v>
      </c>
      <c r="K145" s="162"/>
      <c r="L145" s="335"/>
      <c r="M145" s="162">
        <f t="shared" si="19"/>
        <v>0</v>
      </c>
      <c r="N145" s="335"/>
      <c r="O145" s="162">
        <f t="shared" si="20"/>
        <v>0</v>
      </c>
      <c r="P145" s="162">
        <f t="shared" si="21"/>
        <v>0</v>
      </c>
    </row>
    <row r="146" spans="2:16">
      <c r="B146" s="9" t="str">
        <f t="shared" si="12"/>
        <v/>
      </c>
      <c r="C146" s="157">
        <f>IF(D93="","-",+C145+1)</f>
        <v>2062</v>
      </c>
      <c r="D146" s="158">
        <f>IF(F145+SUM(E$99:E145)=D$92,F145,D$92-SUM(E$99:E145))</f>
        <v>5</v>
      </c>
      <c r="E146" s="164">
        <f t="shared" si="13"/>
        <v>5</v>
      </c>
      <c r="F146" s="163">
        <f t="shared" si="14"/>
        <v>0</v>
      </c>
      <c r="G146" s="163">
        <f t="shared" si="15"/>
        <v>2.5</v>
      </c>
      <c r="H146" s="167">
        <f t="shared" si="16"/>
        <v>5.3171313037522392</v>
      </c>
      <c r="I146" s="317">
        <f t="shared" si="17"/>
        <v>5.3171313037522392</v>
      </c>
      <c r="J146" s="162">
        <f t="shared" si="18"/>
        <v>0</v>
      </c>
      <c r="K146" s="162"/>
      <c r="L146" s="335"/>
      <c r="M146" s="162">
        <f t="shared" si="19"/>
        <v>0</v>
      </c>
      <c r="N146" s="335"/>
      <c r="O146" s="162">
        <f t="shared" si="20"/>
        <v>0</v>
      </c>
      <c r="P146" s="162">
        <f t="shared" si="21"/>
        <v>0</v>
      </c>
    </row>
    <row r="147" spans="2:16">
      <c r="B147" s="9" t="str">
        <f t="shared" si="12"/>
        <v/>
      </c>
      <c r="C147" s="157">
        <f>IF(D93="","-",+C146+1)</f>
        <v>2063</v>
      </c>
      <c r="D147" s="158">
        <f>IF(F146+SUM(E$99:E146)=D$92,F146,D$92-SUM(E$99:E146))</f>
        <v>0</v>
      </c>
      <c r="E147" s="164">
        <f t="shared" si="13"/>
        <v>0</v>
      </c>
      <c r="F147" s="163">
        <f t="shared" si="14"/>
        <v>0</v>
      </c>
      <c r="G147" s="163">
        <f t="shared" si="15"/>
        <v>0</v>
      </c>
      <c r="H147" s="167">
        <f t="shared" si="16"/>
        <v>0</v>
      </c>
      <c r="I147" s="317">
        <f t="shared" si="17"/>
        <v>0</v>
      </c>
      <c r="J147" s="162">
        <f t="shared" si="18"/>
        <v>0</v>
      </c>
      <c r="K147" s="162"/>
      <c r="L147" s="335"/>
      <c r="M147" s="162">
        <f t="shared" si="19"/>
        <v>0</v>
      </c>
      <c r="N147" s="335"/>
      <c r="O147" s="162">
        <f t="shared" si="20"/>
        <v>0</v>
      </c>
      <c r="P147" s="162">
        <f t="shared" si="21"/>
        <v>0</v>
      </c>
    </row>
    <row r="148" spans="2:16">
      <c r="B148" s="9" t="str">
        <f t="shared" si="12"/>
        <v/>
      </c>
      <c r="C148" s="157">
        <f>IF(D93="","-",+C147+1)</f>
        <v>2064</v>
      </c>
      <c r="D148" s="158">
        <f>IF(F147+SUM(E$99:E147)=D$92,F147,D$92-SUM(E$99:E147))</f>
        <v>0</v>
      </c>
      <c r="E148" s="164">
        <f t="shared" si="13"/>
        <v>0</v>
      </c>
      <c r="F148" s="163">
        <f t="shared" si="14"/>
        <v>0</v>
      </c>
      <c r="G148" s="163">
        <f t="shared" si="15"/>
        <v>0</v>
      </c>
      <c r="H148" s="167">
        <f t="shared" si="16"/>
        <v>0</v>
      </c>
      <c r="I148" s="317">
        <f t="shared" si="17"/>
        <v>0</v>
      </c>
      <c r="J148" s="162">
        <f t="shared" si="18"/>
        <v>0</v>
      </c>
      <c r="K148" s="162"/>
      <c r="L148" s="335"/>
      <c r="M148" s="162">
        <f t="shared" si="19"/>
        <v>0</v>
      </c>
      <c r="N148" s="335"/>
      <c r="O148" s="162">
        <f t="shared" si="20"/>
        <v>0</v>
      </c>
      <c r="P148" s="162">
        <f t="shared" si="21"/>
        <v>0</v>
      </c>
    </row>
    <row r="149" spans="2:16">
      <c r="B149" s="9" t="str">
        <f t="shared" si="12"/>
        <v/>
      </c>
      <c r="C149" s="157">
        <f>IF(D93="","-",+C148+1)</f>
        <v>2065</v>
      </c>
      <c r="D149" s="158">
        <f>IF(F148+SUM(E$99:E148)=D$92,F148,D$92-SUM(E$99:E148))</f>
        <v>0</v>
      </c>
      <c r="E149" s="164">
        <f t="shared" si="13"/>
        <v>0</v>
      </c>
      <c r="F149" s="163">
        <f t="shared" si="14"/>
        <v>0</v>
      </c>
      <c r="G149" s="163">
        <f t="shared" si="15"/>
        <v>0</v>
      </c>
      <c r="H149" s="167">
        <f t="shared" si="16"/>
        <v>0</v>
      </c>
      <c r="I149" s="317">
        <f t="shared" si="17"/>
        <v>0</v>
      </c>
      <c r="J149" s="162">
        <f t="shared" si="18"/>
        <v>0</v>
      </c>
      <c r="K149" s="162"/>
      <c r="L149" s="335"/>
      <c r="M149" s="162">
        <f t="shared" si="19"/>
        <v>0</v>
      </c>
      <c r="N149" s="335"/>
      <c r="O149" s="162">
        <f t="shared" si="20"/>
        <v>0</v>
      </c>
      <c r="P149" s="162">
        <f t="shared" si="21"/>
        <v>0</v>
      </c>
    </row>
    <row r="150" spans="2:16">
      <c r="B150" s="9" t="str">
        <f t="shared" si="12"/>
        <v/>
      </c>
      <c r="C150" s="157">
        <f>IF(D93="","-",+C149+1)</f>
        <v>2066</v>
      </c>
      <c r="D150" s="158">
        <f>IF(F149+SUM(E$99:E149)=D$92,F149,D$92-SUM(E$99:E149))</f>
        <v>0</v>
      </c>
      <c r="E150" s="164">
        <f t="shared" si="13"/>
        <v>0</v>
      </c>
      <c r="F150" s="163">
        <f t="shared" si="14"/>
        <v>0</v>
      </c>
      <c r="G150" s="163">
        <f t="shared" si="15"/>
        <v>0</v>
      </c>
      <c r="H150" s="167">
        <f t="shared" si="16"/>
        <v>0</v>
      </c>
      <c r="I150" s="317">
        <f t="shared" si="17"/>
        <v>0</v>
      </c>
      <c r="J150" s="162">
        <f t="shared" si="18"/>
        <v>0</v>
      </c>
      <c r="K150" s="162"/>
      <c r="L150" s="335"/>
      <c r="M150" s="162">
        <f t="shared" si="19"/>
        <v>0</v>
      </c>
      <c r="N150" s="335"/>
      <c r="O150" s="162">
        <f t="shared" si="20"/>
        <v>0</v>
      </c>
      <c r="P150" s="162">
        <f t="shared" si="21"/>
        <v>0</v>
      </c>
    </row>
    <row r="151" spans="2:16">
      <c r="B151" s="9" t="str">
        <f t="shared" si="12"/>
        <v/>
      </c>
      <c r="C151" s="157">
        <f>IF(D93="","-",+C150+1)</f>
        <v>2067</v>
      </c>
      <c r="D151" s="158">
        <f>IF(F150+SUM(E$99:E150)=D$92,F150,D$92-SUM(E$99:E150))</f>
        <v>0</v>
      </c>
      <c r="E151" s="164">
        <f t="shared" si="13"/>
        <v>0</v>
      </c>
      <c r="F151" s="163">
        <f t="shared" si="14"/>
        <v>0</v>
      </c>
      <c r="G151" s="163">
        <f t="shared" si="15"/>
        <v>0</v>
      </c>
      <c r="H151" s="167">
        <f t="shared" si="16"/>
        <v>0</v>
      </c>
      <c r="I151" s="317">
        <f t="shared" si="17"/>
        <v>0</v>
      </c>
      <c r="J151" s="162">
        <f t="shared" si="18"/>
        <v>0</v>
      </c>
      <c r="K151" s="162"/>
      <c r="L151" s="335"/>
      <c r="M151" s="162">
        <f t="shared" si="19"/>
        <v>0</v>
      </c>
      <c r="N151" s="335"/>
      <c r="O151" s="162">
        <f t="shared" si="20"/>
        <v>0</v>
      </c>
      <c r="P151" s="162">
        <f t="shared" si="21"/>
        <v>0</v>
      </c>
    </row>
    <row r="152" spans="2:16">
      <c r="B152" s="9" t="str">
        <f t="shared" si="12"/>
        <v/>
      </c>
      <c r="C152" s="157">
        <f>IF(D93="","-",+C151+1)</f>
        <v>2068</v>
      </c>
      <c r="D152" s="158">
        <f>IF(F151+SUM(E$99:E151)=D$92,F151,D$92-SUM(E$99:E151))</f>
        <v>0</v>
      </c>
      <c r="E152" s="164">
        <f t="shared" si="13"/>
        <v>0</v>
      </c>
      <c r="F152" s="163">
        <f t="shared" si="14"/>
        <v>0</v>
      </c>
      <c r="G152" s="163">
        <f t="shared" si="15"/>
        <v>0</v>
      </c>
      <c r="H152" s="167">
        <f t="shared" si="16"/>
        <v>0</v>
      </c>
      <c r="I152" s="317">
        <f t="shared" si="17"/>
        <v>0</v>
      </c>
      <c r="J152" s="162">
        <f t="shared" si="18"/>
        <v>0</v>
      </c>
      <c r="K152" s="162"/>
      <c r="L152" s="335"/>
      <c r="M152" s="162">
        <f t="shared" si="19"/>
        <v>0</v>
      </c>
      <c r="N152" s="335"/>
      <c r="O152" s="162">
        <f t="shared" si="20"/>
        <v>0</v>
      </c>
      <c r="P152" s="162">
        <f t="shared" si="21"/>
        <v>0</v>
      </c>
    </row>
    <row r="153" spans="2:16">
      <c r="B153" s="9" t="str">
        <f t="shared" si="12"/>
        <v/>
      </c>
      <c r="C153" s="157">
        <f>IF(D93="","-",+C152+1)</f>
        <v>2069</v>
      </c>
      <c r="D153" s="158">
        <f>IF(F152+SUM(E$99:E152)=D$92,F152,D$92-SUM(E$99:E152))</f>
        <v>0</v>
      </c>
      <c r="E153" s="164">
        <f t="shared" si="13"/>
        <v>0</v>
      </c>
      <c r="F153" s="163">
        <f t="shared" si="14"/>
        <v>0</v>
      </c>
      <c r="G153" s="163">
        <f t="shared" si="15"/>
        <v>0</v>
      </c>
      <c r="H153" s="167">
        <f t="shared" si="16"/>
        <v>0</v>
      </c>
      <c r="I153" s="317">
        <f t="shared" si="17"/>
        <v>0</v>
      </c>
      <c r="J153" s="162">
        <f t="shared" si="18"/>
        <v>0</v>
      </c>
      <c r="K153" s="162"/>
      <c r="L153" s="335"/>
      <c r="M153" s="162">
        <f t="shared" si="19"/>
        <v>0</v>
      </c>
      <c r="N153" s="335"/>
      <c r="O153" s="162">
        <f t="shared" si="20"/>
        <v>0</v>
      </c>
      <c r="P153" s="162">
        <f t="shared" si="21"/>
        <v>0</v>
      </c>
    </row>
    <row r="154" spans="2:16" ht="13.5" thickBot="1">
      <c r="B154" s="9" t="str">
        <f t="shared" si="12"/>
        <v/>
      </c>
      <c r="C154" s="168">
        <f>IF(D93="","-",+C153+1)</f>
        <v>2070</v>
      </c>
      <c r="D154" s="388">
        <f>IF(F153+SUM(E$99:E153)=D$92,F153,D$92-SUM(E$99:E153))</f>
        <v>0</v>
      </c>
      <c r="E154" s="170">
        <f t="shared" si="13"/>
        <v>0</v>
      </c>
      <c r="F154" s="169">
        <f t="shared" si="14"/>
        <v>0</v>
      </c>
      <c r="G154" s="169">
        <f t="shared" si="15"/>
        <v>0</v>
      </c>
      <c r="H154" s="171">
        <f t="shared" si="16"/>
        <v>0</v>
      </c>
      <c r="I154" s="318">
        <f t="shared" si="17"/>
        <v>0</v>
      </c>
      <c r="J154" s="173">
        <f t="shared" si="18"/>
        <v>0</v>
      </c>
      <c r="K154" s="162"/>
      <c r="L154" s="336"/>
      <c r="M154" s="173">
        <f t="shared" si="19"/>
        <v>0</v>
      </c>
      <c r="N154" s="336"/>
      <c r="O154" s="173">
        <f t="shared" si="20"/>
        <v>0</v>
      </c>
      <c r="P154" s="173">
        <f t="shared" si="21"/>
        <v>0</v>
      </c>
    </row>
    <row r="155" spans="2:16">
      <c r="C155" s="158" t="s">
        <v>72</v>
      </c>
      <c r="D155" s="115"/>
      <c r="E155" s="115">
        <f>SUM(E99:E154)</f>
        <v>1692023</v>
      </c>
      <c r="F155" s="115"/>
      <c r="G155" s="115"/>
      <c r="H155" s="115">
        <f>SUM(H99:H154)</f>
        <v>6743029.5590281375</v>
      </c>
      <c r="I155" s="115">
        <f>SUM(I99:I154)</f>
        <v>6743029.5590281375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3" priority="1" stopIfTrue="1" operator="equal">
      <formula>$I$10</formula>
    </cfRule>
  </conditionalFormatting>
  <conditionalFormatting sqref="C99:C154">
    <cfRule type="cellIs" dxfId="22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9" tint="-0.249977111117893"/>
  </sheetPr>
  <dimension ref="A1:P162"/>
  <sheetViews>
    <sheetView view="pageBreakPreview" zoomScale="80" zoomScaleNormal="100" zoomScaleSheetLayoutView="8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18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220554.30974952347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220554.30974952347</v>
      </c>
      <c r="O6" s="1"/>
      <c r="P6" s="1"/>
    </row>
    <row r="7" spans="1:16" ht="13.5" thickBot="1">
      <c r="C7" s="127" t="s">
        <v>41</v>
      </c>
      <c r="D7" s="426" t="s">
        <v>257</v>
      </c>
      <c r="E7" s="406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445" t="s">
        <v>260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264</v>
      </c>
      <c r="E9" s="428" t="s">
        <v>346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1725646.85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2014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4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43141.171249999999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2014</v>
      </c>
      <c r="D17" s="420">
        <v>1725646.85</v>
      </c>
      <c r="E17" s="446">
        <v>22123.677564102563</v>
      </c>
      <c r="F17" s="420">
        <v>1703523.1724358976</v>
      </c>
      <c r="G17" s="446">
        <v>256628.57821434946</v>
      </c>
      <c r="H17" s="425">
        <v>256628.57821434946</v>
      </c>
      <c r="I17" s="160">
        <v>0</v>
      </c>
      <c r="J17" s="160"/>
      <c r="K17" s="338">
        <f>G17</f>
        <v>256628.57821434946</v>
      </c>
      <c r="L17" s="440">
        <f>IF(K17&lt;&gt;0,+G17-K17,0)</f>
        <v>0</v>
      </c>
      <c r="M17" s="338">
        <f>H17</f>
        <v>256628.57821434946</v>
      </c>
      <c r="N17" s="162">
        <f>IF(M17&lt;&gt;0,+H17-M17,0)</f>
        <v>0</v>
      </c>
      <c r="O17" s="160">
        <f>+N17-L17</f>
        <v>0</v>
      </c>
      <c r="P17" s="4"/>
    </row>
    <row r="18" spans="2:16">
      <c r="B18" s="9" t="str">
        <f>IF(D18=F17,"","IU")</f>
        <v/>
      </c>
      <c r="C18" s="157">
        <f>IF(D11="","-",+C17+1)</f>
        <v>2015</v>
      </c>
      <c r="D18" s="420">
        <v>1703523.1724358976</v>
      </c>
      <c r="E18" s="421">
        <v>33185.516346153847</v>
      </c>
      <c r="F18" s="420">
        <v>1670337.6560897438</v>
      </c>
      <c r="G18" s="421">
        <v>263477.7363505594</v>
      </c>
      <c r="H18" s="425">
        <v>263477.7363505594</v>
      </c>
      <c r="I18" s="160">
        <v>0</v>
      </c>
      <c r="J18" s="160"/>
      <c r="K18" s="338">
        <f>G18</f>
        <v>263477.7363505594</v>
      </c>
      <c r="L18" s="440">
        <f>IF(K18&lt;&gt;0,+G18-K18,0)</f>
        <v>0</v>
      </c>
      <c r="M18" s="338">
        <f>H18</f>
        <v>263477.7363505594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/>
      </c>
      <c r="C19" s="157">
        <f>IF(D11="","-",+C18+1)</f>
        <v>2016</v>
      </c>
      <c r="D19" s="420">
        <v>1670337.6560897438</v>
      </c>
      <c r="E19" s="421">
        <v>33185.516346153847</v>
      </c>
      <c r="F19" s="420">
        <v>1637152.13974359</v>
      </c>
      <c r="G19" s="421">
        <v>247913.51634615386</v>
      </c>
      <c r="H19" s="425">
        <v>247913.51634615386</v>
      </c>
      <c r="I19" s="160">
        <f>H19-G19</f>
        <v>0</v>
      </c>
      <c r="J19" s="160"/>
      <c r="K19" s="338">
        <f>G19</f>
        <v>247913.51634615386</v>
      </c>
      <c r="L19" s="440">
        <f>IF(K19&lt;&gt;0,+G19-K19,0)</f>
        <v>0</v>
      </c>
      <c r="M19" s="338">
        <f>H19</f>
        <v>247913.51634615386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0">IF(D20=F19,"","IU")</f>
        <v/>
      </c>
      <c r="C20" s="157">
        <f>IF(D11="","-",+C19+1)</f>
        <v>2017</v>
      </c>
      <c r="D20" s="420">
        <v>1637152.13974359</v>
      </c>
      <c r="E20" s="421">
        <v>37514.061956521742</v>
      </c>
      <c r="F20" s="420">
        <v>1599638.0777870682</v>
      </c>
      <c r="G20" s="421">
        <v>241085.06195652173</v>
      </c>
      <c r="H20" s="425">
        <v>241085.06195652173</v>
      </c>
      <c r="I20" s="160">
        <v>0</v>
      </c>
      <c r="J20" s="160"/>
      <c r="K20" s="338">
        <f>G20</f>
        <v>241085.06195652173</v>
      </c>
      <c r="L20" s="440">
        <f>IF(K20&lt;&gt;0,+G20-K20,0)</f>
        <v>0</v>
      </c>
      <c r="M20" s="338">
        <f>H20</f>
        <v>241085.06195652173</v>
      </c>
      <c r="N20" s="162">
        <f>IF(M20&lt;&gt;0,+H20-M20,0)</f>
        <v>0</v>
      </c>
      <c r="O20" s="160">
        <f>+N20-L20</f>
        <v>0</v>
      </c>
      <c r="P20" s="4"/>
    </row>
    <row r="21" spans="2:16">
      <c r="B21" s="9" t="str">
        <f t="shared" si="0"/>
        <v/>
      </c>
      <c r="C21" s="157">
        <f>IF(D11="","-",+C20+1)</f>
        <v>2018</v>
      </c>
      <c r="D21" s="420">
        <v>1599638.0777870682</v>
      </c>
      <c r="E21" s="421">
        <v>38347.707777777781</v>
      </c>
      <c r="F21" s="420">
        <v>1561290.3700092905</v>
      </c>
      <c r="G21" s="421">
        <v>227622.42905835263</v>
      </c>
      <c r="H21" s="425">
        <v>227622.42905835263</v>
      </c>
      <c r="I21" s="160">
        <f t="shared" ref="I21:I72" si="1">H21-G21</f>
        <v>0</v>
      </c>
      <c r="J21" s="160"/>
      <c r="K21" s="338">
        <f>G21</f>
        <v>227622.42905835263</v>
      </c>
      <c r="L21" s="440">
        <f>IF(K21&lt;&gt;0,+G21-K21,0)</f>
        <v>0</v>
      </c>
      <c r="M21" s="338">
        <f>H21</f>
        <v>227622.42905835263</v>
      </c>
      <c r="N21" s="162">
        <f>IF(M21&lt;&gt;0,+H21-M21,0)</f>
        <v>0</v>
      </c>
      <c r="O21" s="160">
        <f>+N21-L21</f>
        <v>0</v>
      </c>
      <c r="P21" s="4"/>
    </row>
    <row r="22" spans="2:16">
      <c r="B22" s="9" t="str">
        <f t="shared" si="0"/>
        <v/>
      </c>
      <c r="C22" s="157">
        <f>IF(D11="","-",+C21+1)</f>
        <v>2019</v>
      </c>
      <c r="D22" s="163">
        <f>IF(F21+SUM(E$17:E21)=D$10,F21,D$10-SUM(E$17:E21))</f>
        <v>1561290.3700092905</v>
      </c>
      <c r="E22" s="164">
        <f t="shared" ref="E22:E72" si="2">IF(+$I$14&lt;F21,$I$14,D22)</f>
        <v>43141.171249999999</v>
      </c>
      <c r="F22" s="163">
        <f t="shared" ref="F22:F72" si="3">+D22-E22</f>
        <v>1518149.1987592906</v>
      </c>
      <c r="G22" s="165">
        <f t="shared" ref="G22:G72" si="4">(D22+F22)/2*I$12+E22</f>
        <v>220554.30974952347</v>
      </c>
      <c r="H22" s="147">
        <f t="shared" ref="H22:H72" si="5">+(D22+F22)/2*I$13+E22</f>
        <v>220554.30974952347</v>
      </c>
      <c r="I22" s="160">
        <f t="shared" si="1"/>
        <v>0</v>
      </c>
      <c r="J22" s="160"/>
      <c r="K22" s="335"/>
      <c r="L22" s="162">
        <f t="shared" ref="L22:L72" si="6">IF(K22&lt;&gt;0,+G22-K22,0)</f>
        <v>0</v>
      </c>
      <c r="M22" s="335"/>
      <c r="N22" s="162">
        <f t="shared" ref="N22:N72" si="7">IF(M22&lt;&gt;0,+H22-M22,0)</f>
        <v>0</v>
      </c>
      <c r="O22" s="162">
        <f t="shared" ref="O22:O72" si="8">+N22-L22</f>
        <v>0</v>
      </c>
      <c r="P22" s="4"/>
    </row>
    <row r="23" spans="2:16">
      <c r="B23" s="9" t="str">
        <f t="shared" si="0"/>
        <v/>
      </c>
      <c r="C23" s="157">
        <f>IF(D11="","-",+C22+1)</f>
        <v>2020</v>
      </c>
      <c r="D23" s="163">
        <f>IF(F22+SUM(E$17:E22)=D$10,F22,D$10-SUM(E$17:E22))</f>
        <v>1518149.1987592906</v>
      </c>
      <c r="E23" s="164">
        <f t="shared" si="2"/>
        <v>43141.171249999999</v>
      </c>
      <c r="F23" s="163">
        <f t="shared" si="3"/>
        <v>1475008.0275092907</v>
      </c>
      <c r="G23" s="165">
        <f t="shared" si="4"/>
        <v>215583.39837484853</v>
      </c>
      <c r="H23" s="147">
        <f t="shared" si="5"/>
        <v>215583.39837484853</v>
      </c>
      <c r="I23" s="160">
        <f t="shared" si="1"/>
        <v>0</v>
      </c>
      <c r="J23" s="160"/>
      <c r="K23" s="335"/>
      <c r="L23" s="162">
        <f t="shared" si="6"/>
        <v>0</v>
      </c>
      <c r="M23" s="335"/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0"/>
        <v/>
      </c>
      <c r="C24" s="157">
        <f>IF(D11="","-",+C23+1)</f>
        <v>2021</v>
      </c>
      <c r="D24" s="163">
        <f>IF(F23+SUM(E$17:E23)=D$10,F23,D$10-SUM(E$17:E23))</f>
        <v>1475008.0275092907</v>
      </c>
      <c r="E24" s="164">
        <f t="shared" si="2"/>
        <v>43141.171249999999</v>
      </c>
      <c r="F24" s="163">
        <f t="shared" si="3"/>
        <v>1431866.8562592908</v>
      </c>
      <c r="G24" s="165">
        <f t="shared" si="4"/>
        <v>210612.4870001736</v>
      </c>
      <c r="H24" s="147">
        <f t="shared" si="5"/>
        <v>210612.4870001736</v>
      </c>
      <c r="I24" s="160">
        <f t="shared" si="1"/>
        <v>0</v>
      </c>
      <c r="J24" s="160"/>
      <c r="K24" s="335"/>
      <c r="L24" s="162">
        <f t="shared" si="6"/>
        <v>0</v>
      </c>
      <c r="M24" s="335"/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0"/>
        <v/>
      </c>
      <c r="C25" s="157">
        <f>IF(D11="","-",+C24+1)</f>
        <v>2022</v>
      </c>
      <c r="D25" s="163">
        <f>IF(F24+SUM(E$17:E24)=D$10,F24,D$10-SUM(E$17:E24))</f>
        <v>1431866.8562592908</v>
      </c>
      <c r="E25" s="164">
        <f t="shared" si="2"/>
        <v>43141.171249999999</v>
      </c>
      <c r="F25" s="163">
        <f t="shared" si="3"/>
        <v>1388725.6850092909</v>
      </c>
      <c r="G25" s="165">
        <f t="shared" si="4"/>
        <v>205641.57562549866</v>
      </c>
      <c r="H25" s="147">
        <f t="shared" si="5"/>
        <v>205641.57562549866</v>
      </c>
      <c r="I25" s="160">
        <f t="shared" si="1"/>
        <v>0</v>
      </c>
      <c r="J25" s="160"/>
      <c r="K25" s="335"/>
      <c r="L25" s="162">
        <f t="shared" si="6"/>
        <v>0</v>
      </c>
      <c r="M25" s="335"/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0"/>
        <v/>
      </c>
      <c r="C26" s="157">
        <f>IF(D11="","-",+C25+1)</f>
        <v>2023</v>
      </c>
      <c r="D26" s="163">
        <f>IF(F25+SUM(E$17:E25)=D$10,F25,D$10-SUM(E$17:E25))</f>
        <v>1388725.6850092909</v>
      </c>
      <c r="E26" s="164">
        <f t="shared" si="2"/>
        <v>43141.171249999999</v>
      </c>
      <c r="F26" s="163">
        <f t="shared" si="3"/>
        <v>1345584.513759291</v>
      </c>
      <c r="G26" s="165">
        <f t="shared" si="4"/>
        <v>200670.66425082379</v>
      </c>
      <c r="H26" s="147">
        <f t="shared" si="5"/>
        <v>200670.66425082379</v>
      </c>
      <c r="I26" s="160">
        <f t="shared" si="1"/>
        <v>0</v>
      </c>
      <c r="J26" s="160"/>
      <c r="K26" s="335"/>
      <c r="L26" s="162">
        <f t="shared" si="6"/>
        <v>0</v>
      </c>
      <c r="M26" s="335"/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0"/>
        <v/>
      </c>
      <c r="C27" s="157">
        <f>IF(D11="","-",+C26+1)</f>
        <v>2024</v>
      </c>
      <c r="D27" s="163">
        <f>IF(F26+SUM(E$17:E26)=D$10,F26,D$10-SUM(E$17:E26))</f>
        <v>1345584.513759291</v>
      </c>
      <c r="E27" s="164">
        <f t="shared" si="2"/>
        <v>43141.171249999999</v>
      </c>
      <c r="F27" s="163">
        <f t="shared" si="3"/>
        <v>1302443.3425092911</v>
      </c>
      <c r="G27" s="165">
        <f t="shared" si="4"/>
        <v>195699.75287614879</v>
      </c>
      <c r="H27" s="147">
        <f t="shared" si="5"/>
        <v>195699.75287614879</v>
      </c>
      <c r="I27" s="160">
        <f t="shared" si="1"/>
        <v>0</v>
      </c>
      <c r="J27" s="160"/>
      <c r="K27" s="335"/>
      <c r="L27" s="162">
        <f t="shared" si="6"/>
        <v>0</v>
      </c>
      <c r="M27" s="335"/>
      <c r="N27" s="162">
        <f t="shared" si="7"/>
        <v>0</v>
      </c>
      <c r="O27" s="162">
        <f t="shared" si="8"/>
        <v>0</v>
      </c>
      <c r="P27" s="4"/>
    </row>
    <row r="28" spans="2:16">
      <c r="B28" s="9" t="str">
        <f t="shared" si="0"/>
        <v/>
      </c>
      <c r="C28" s="157">
        <f>IF(D11="","-",+C27+1)</f>
        <v>2025</v>
      </c>
      <c r="D28" s="163">
        <f>IF(F27+SUM(E$17:E27)=D$10,F27,D$10-SUM(E$17:E27))</f>
        <v>1302443.3425092911</v>
      </c>
      <c r="E28" s="164">
        <f t="shared" si="2"/>
        <v>43141.171249999999</v>
      </c>
      <c r="F28" s="163">
        <f t="shared" si="3"/>
        <v>1259302.1712592912</v>
      </c>
      <c r="G28" s="165">
        <f t="shared" si="4"/>
        <v>190728.84150147391</v>
      </c>
      <c r="H28" s="147">
        <f t="shared" si="5"/>
        <v>190728.84150147391</v>
      </c>
      <c r="I28" s="160">
        <f t="shared" si="1"/>
        <v>0</v>
      </c>
      <c r="J28" s="160"/>
      <c r="K28" s="335"/>
      <c r="L28" s="162">
        <f t="shared" si="6"/>
        <v>0</v>
      </c>
      <c r="M28" s="335"/>
      <c r="N28" s="162">
        <f t="shared" si="7"/>
        <v>0</v>
      </c>
      <c r="O28" s="162">
        <f t="shared" si="8"/>
        <v>0</v>
      </c>
      <c r="P28" s="4"/>
    </row>
    <row r="29" spans="2:16">
      <c r="B29" s="9" t="str">
        <f t="shared" si="0"/>
        <v/>
      </c>
      <c r="C29" s="157">
        <f>IF(D11="","-",+C28+1)</f>
        <v>2026</v>
      </c>
      <c r="D29" s="163">
        <f>IF(F28+SUM(E$17:E28)=D$10,F28,D$10-SUM(E$17:E28))</f>
        <v>1259302.1712592912</v>
      </c>
      <c r="E29" s="164">
        <f t="shared" si="2"/>
        <v>43141.171249999999</v>
      </c>
      <c r="F29" s="163">
        <f t="shared" si="3"/>
        <v>1216161.0000092913</v>
      </c>
      <c r="G29" s="165">
        <f t="shared" si="4"/>
        <v>185757.93012679898</v>
      </c>
      <c r="H29" s="147">
        <f t="shared" si="5"/>
        <v>185757.93012679898</v>
      </c>
      <c r="I29" s="160">
        <f t="shared" si="1"/>
        <v>0</v>
      </c>
      <c r="J29" s="160"/>
      <c r="K29" s="335"/>
      <c r="L29" s="162">
        <f t="shared" si="6"/>
        <v>0</v>
      </c>
      <c r="M29" s="335"/>
      <c r="N29" s="162">
        <f t="shared" si="7"/>
        <v>0</v>
      </c>
      <c r="O29" s="162">
        <f t="shared" si="8"/>
        <v>0</v>
      </c>
      <c r="P29" s="4"/>
    </row>
    <row r="30" spans="2:16">
      <c r="B30" s="9" t="str">
        <f t="shared" si="0"/>
        <v/>
      </c>
      <c r="C30" s="157">
        <f>IF(D11="","-",+C29+1)</f>
        <v>2027</v>
      </c>
      <c r="D30" s="163">
        <f>IF(F29+SUM(E$17:E29)=D$10,F29,D$10-SUM(E$17:E29))</f>
        <v>1216161.0000092913</v>
      </c>
      <c r="E30" s="164">
        <f t="shared" si="2"/>
        <v>43141.171249999999</v>
      </c>
      <c r="F30" s="163">
        <f t="shared" si="3"/>
        <v>1173019.8287592914</v>
      </c>
      <c r="G30" s="165">
        <f t="shared" si="4"/>
        <v>180787.01875212404</v>
      </c>
      <c r="H30" s="147">
        <f t="shared" si="5"/>
        <v>180787.01875212404</v>
      </c>
      <c r="I30" s="160">
        <f t="shared" si="1"/>
        <v>0</v>
      </c>
      <c r="J30" s="160"/>
      <c r="K30" s="335"/>
      <c r="L30" s="162">
        <f t="shared" si="6"/>
        <v>0</v>
      </c>
      <c r="M30" s="335"/>
      <c r="N30" s="162">
        <f t="shared" si="7"/>
        <v>0</v>
      </c>
      <c r="O30" s="162">
        <f t="shared" si="8"/>
        <v>0</v>
      </c>
      <c r="P30" s="4"/>
    </row>
    <row r="31" spans="2:16">
      <c r="B31" s="9" t="str">
        <f t="shared" si="0"/>
        <v/>
      </c>
      <c r="C31" s="157">
        <f>IF(D11="","-",+C30+1)</f>
        <v>2028</v>
      </c>
      <c r="D31" s="163">
        <f>IF(F30+SUM(E$17:E30)=D$10,F30,D$10-SUM(E$17:E30))</f>
        <v>1173019.8287592914</v>
      </c>
      <c r="E31" s="164">
        <f t="shared" si="2"/>
        <v>43141.171249999999</v>
      </c>
      <c r="F31" s="163">
        <f t="shared" si="3"/>
        <v>1129878.6575092915</v>
      </c>
      <c r="G31" s="165">
        <f t="shared" si="4"/>
        <v>175816.10737744911</v>
      </c>
      <c r="H31" s="147">
        <f t="shared" si="5"/>
        <v>175816.10737744911</v>
      </c>
      <c r="I31" s="160">
        <f t="shared" si="1"/>
        <v>0</v>
      </c>
      <c r="J31" s="160"/>
      <c r="K31" s="335"/>
      <c r="L31" s="162">
        <f t="shared" si="6"/>
        <v>0</v>
      </c>
      <c r="M31" s="335"/>
      <c r="N31" s="162">
        <f t="shared" si="7"/>
        <v>0</v>
      </c>
      <c r="O31" s="162">
        <f t="shared" si="8"/>
        <v>0</v>
      </c>
      <c r="P31" s="4"/>
    </row>
    <row r="32" spans="2:16">
      <c r="B32" s="9" t="str">
        <f t="shared" si="0"/>
        <v/>
      </c>
      <c r="C32" s="157">
        <f>IF(D11="","-",+C31+1)</f>
        <v>2029</v>
      </c>
      <c r="D32" s="163">
        <f>IF(F31+SUM(E$17:E31)=D$10,F31,D$10-SUM(E$17:E31))</f>
        <v>1129878.6575092915</v>
      </c>
      <c r="E32" s="164">
        <f t="shared" si="2"/>
        <v>43141.171249999999</v>
      </c>
      <c r="F32" s="163">
        <f t="shared" si="3"/>
        <v>1086737.4862592916</v>
      </c>
      <c r="G32" s="165">
        <f t="shared" si="4"/>
        <v>170845.19600277423</v>
      </c>
      <c r="H32" s="147">
        <f t="shared" si="5"/>
        <v>170845.19600277423</v>
      </c>
      <c r="I32" s="160">
        <f t="shared" si="1"/>
        <v>0</v>
      </c>
      <c r="J32" s="160"/>
      <c r="K32" s="335"/>
      <c r="L32" s="162">
        <f t="shared" si="6"/>
        <v>0</v>
      </c>
      <c r="M32" s="335"/>
      <c r="N32" s="162">
        <f t="shared" si="7"/>
        <v>0</v>
      </c>
      <c r="O32" s="162">
        <f t="shared" si="8"/>
        <v>0</v>
      </c>
      <c r="P32" s="4"/>
    </row>
    <row r="33" spans="2:16">
      <c r="B33" s="9" t="str">
        <f t="shared" si="0"/>
        <v/>
      </c>
      <c r="C33" s="157">
        <f>IF(D11="","-",+C32+1)</f>
        <v>2030</v>
      </c>
      <c r="D33" s="163">
        <f>IF(F32+SUM(E$17:E32)=D$10,F32,D$10-SUM(E$17:E32))</f>
        <v>1086737.4862592916</v>
      </c>
      <c r="E33" s="164">
        <f t="shared" si="2"/>
        <v>43141.171249999999</v>
      </c>
      <c r="F33" s="163">
        <f t="shared" si="3"/>
        <v>1043596.3150092916</v>
      </c>
      <c r="G33" s="165">
        <f t="shared" si="4"/>
        <v>165874.28462809927</v>
      </c>
      <c r="H33" s="147">
        <f t="shared" si="5"/>
        <v>165874.28462809927</v>
      </c>
      <c r="I33" s="160">
        <f t="shared" si="1"/>
        <v>0</v>
      </c>
      <c r="J33" s="160"/>
      <c r="K33" s="335"/>
      <c r="L33" s="162">
        <f t="shared" si="6"/>
        <v>0</v>
      </c>
      <c r="M33" s="335"/>
      <c r="N33" s="162">
        <f t="shared" si="7"/>
        <v>0</v>
      </c>
      <c r="O33" s="162">
        <f t="shared" si="8"/>
        <v>0</v>
      </c>
      <c r="P33" s="4"/>
    </row>
    <row r="34" spans="2:16">
      <c r="B34" s="9" t="str">
        <f t="shared" si="0"/>
        <v/>
      </c>
      <c r="C34" s="157">
        <f>IF(D11="","-",+C33+1)</f>
        <v>2031</v>
      </c>
      <c r="D34" s="163">
        <f>IF(F33+SUM(E$17:E33)=D$10,F33,D$10-SUM(E$17:E33))</f>
        <v>1043596.3150092916</v>
      </c>
      <c r="E34" s="164">
        <f t="shared" si="2"/>
        <v>43141.171249999999</v>
      </c>
      <c r="F34" s="163">
        <f t="shared" si="3"/>
        <v>1000455.1437592916</v>
      </c>
      <c r="G34" s="165">
        <f t="shared" si="4"/>
        <v>160903.37325342436</v>
      </c>
      <c r="H34" s="147">
        <f t="shared" si="5"/>
        <v>160903.37325342436</v>
      </c>
      <c r="I34" s="160">
        <f t="shared" si="1"/>
        <v>0</v>
      </c>
      <c r="J34" s="160"/>
      <c r="K34" s="335"/>
      <c r="L34" s="162">
        <f t="shared" si="6"/>
        <v>0</v>
      </c>
      <c r="M34" s="335"/>
      <c r="N34" s="162">
        <f t="shared" si="7"/>
        <v>0</v>
      </c>
      <c r="O34" s="162">
        <f t="shared" si="8"/>
        <v>0</v>
      </c>
      <c r="P34" s="4"/>
    </row>
    <row r="35" spans="2:16">
      <c r="B35" s="9" t="str">
        <f t="shared" si="0"/>
        <v/>
      </c>
      <c r="C35" s="157">
        <f>IF(D11="","-",+C34+1)</f>
        <v>2032</v>
      </c>
      <c r="D35" s="163">
        <f>IF(F34+SUM(E$17:E34)=D$10,F34,D$10-SUM(E$17:E34))</f>
        <v>1000455.1437592916</v>
      </c>
      <c r="E35" s="164">
        <f t="shared" si="2"/>
        <v>43141.171249999999</v>
      </c>
      <c r="F35" s="163">
        <f t="shared" si="3"/>
        <v>957313.97250929161</v>
      </c>
      <c r="G35" s="165">
        <f t="shared" si="4"/>
        <v>155932.4618787494</v>
      </c>
      <c r="H35" s="147">
        <f t="shared" si="5"/>
        <v>155932.4618787494</v>
      </c>
      <c r="I35" s="160">
        <f t="shared" si="1"/>
        <v>0</v>
      </c>
      <c r="J35" s="160"/>
      <c r="K35" s="335"/>
      <c r="L35" s="162">
        <f t="shared" si="6"/>
        <v>0</v>
      </c>
      <c r="M35" s="335"/>
      <c r="N35" s="162">
        <f t="shared" si="7"/>
        <v>0</v>
      </c>
      <c r="O35" s="162">
        <f t="shared" si="8"/>
        <v>0</v>
      </c>
      <c r="P35" s="4"/>
    </row>
    <row r="36" spans="2:16">
      <c r="B36" s="9" t="str">
        <f t="shared" si="0"/>
        <v/>
      </c>
      <c r="C36" s="157">
        <f>IF(D11="","-",+C35+1)</f>
        <v>2033</v>
      </c>
      <c r="D36" s="163">
        <f>IF(F35+SUM(E$17:E35)=D$10,F35,D$10-SUM(E$17:E35))</f>
        <v>957313.97250929161</v>
      </c>
      <c r="E36" s="164">
        <f t="shared" si="2"/>
        <v>43141.171249999999</v>
      </c>
      <c r="F36" s="163">
        <f t="shared" si="3"/>
        <v>914172.80125929159</v>
      </c>
      <c r="G36" s="165">
        <f t="shared" si="4"/>
        <v>150961.55050407449</v>
      </c>
      <c r="H36" s="147">
        <f t="shared" si="5"/>
        <v>150961.55050407449</v>
      </c>
      <c r="I36" s="160">
        <f t="shared" si="1"/>
        <v>0</v>
      </c>
      <c r="J36" s="160"/>
      <c r="K36" s="335"/>
      <c r="L36" s="162">
        <f t="shared" si="6"/>
        <v>0</v>
      </c>
      <c r="M36" s="335"/>
      <c r="N36" s="162">
        <f t="shared" si="7"/>
        <v>0</v>
      </c>
      <c r="O36" s="162">
        <f t="shared" si="8"/>
        <v>0</v>
      </c>
      <c r="P36" s="4"/>
    </row>
    <row r="37" spans="2:16">
      <c r="B37" s="9" t="str">
        <f t="shared" si="0"/>
        <v/>
      </c>
      <c r="C37" s="157">
        <f>IF(D11="","-",+C36+1)</f>
        <v>2034</v>
      </c>
      <c r="D37" s="163">
        <f>IF(F36+SUM(E$17:E36)=D$10,F36,D$10-SUM(E$17:E36))</f>
        <v>914172.80125929159</v>
      </c>
      <c r="E37" s="164">
        <f t="shared" si="2"/>
        <v>43141.171249999999</v>
      </c>
      <c r="F37" s="163">
        <f t="shared" si="3"/>
        <v>871031.63000929158</v>
      </c>
      <c r="G37" s="165">
        <f t="shared" si="4"/>
        <v>145990.63912939953</v>
      </c>
      <c r="H37" s="147">
        <f t="shared" si="5"/>
        <v>145990.63912939953</v>
      </c>
      <c r="I37" s="160">
        <f t="shared" si="1"/>
        <v>0</v>
      </c>
      <c r="J37" s="160"/>
      <c r="K37" s="335"/>
      <c r="L37" s="162">
        <f t="shared" si="6"/>
        <v>0</v>
      </c>
      <c r="M37" s="335"/>
      <c r="N37" s="162">
        <f t="shared" si="7"/>
        <v>0</v>
      </c>
      <c r="O37" s="162">
        <f t="shared" si="8"/>
        <v>0</v>
      </c>
      <c r="P37" s="4"/>
    </row>
    <row r="38" spans="2:16">
      <c r="B38" s="9" t="str">
        <f t="shared" si="0"/>
        <v/>
      </c>
      <c r="C38" s="157">
        <f>IF(D11="","-",+C37+1)</f>
        <v>2035</v>
      </c>
      <c r="D38" s="163">
        <f>IF(F37+SUM(E$17:E37)=D$10,F37,D$10-SUM(E$17:E37))</f>
        <v>871031.63000929158</v>
      </c>
      <c r="E38" s="164">
        <f t="shared" si="2"/>
        <v>43141.171249999999</v>
      </c>
      <c r="F38" s="163">
        <f t="shared" si="3"/>
        <v>827890.45875929156</v>
      </c>
      <c r="G38" s="165">
        <f t="shared" si="4"/>
        <v>141019.72775472462</v>
      </c>
      <c r="H38" s="147">
        <f t="shared" si="5"/>
        <v>141019.72775472462</v>
      </c>
      <c r="I38" s="160">
        <f t="shared" si="1"/>
        <v>0</v>
      </c>
      <c r="J38" s="160"/>
      <c r="K38" s="335"/>
      <c r="L38" s="162">
        <f t="shared" si="6"/>
        <v>0</v>
      </c>
      <c r="M38" s="335"/>
      <c r="N38" s="162">
        <f t="shared" si="7"/>
        <v>0</v>
      </c>
      <c r="O38" s="162">
        <f t="shared" si="8"/>
        <v>0</v>
      </c>
      <c r="P38" s="4"/>
    </row>
    <row r="39" spans="2:16">
      <c r="B39" s="9" t="str">
        <f t="shared" si="0"/>
        <v/>
      </c>
      <c r="C39" s="157">
        <f>IF(D11="","-",+C38+1)</f>
        <v>2036</v>
      </c>
      <c r="D39" s="163">
        <f>IF(F38+SUM(E$17:E38)=D$10,F38,D$10-SUM(E$17:E38))</f>
        <v>827890.45875929156</v>
      </c>
      <c r="E39" s="164">
        <f t="shared" si="2"/>
        <v>43141.171249999999</v>
      </c>
      <c r="F39" s="163">
        <f t="shared" si="3"/>
        <v>784749.28750929155</v>
      </c>
      <c r="G39" s="165">
        <f t="shared" si="4"/>
        <v>136048.81638004965</v>
      </c>
      <c r="H39" s="147">
        <f t="shared" si="5"/>
        <v>136048.81638004965</v>
      </c>
      <c r="I39" s="160">
        <f t="shared" si="1"/>
        <v>0</v>
      </c>
      <c r="J39" s="160"/>
      <c r="K39" s="335"/>
      <c r="L39" s="162">
        <f t="shared" si="6"/>
        <v>0</v>
      </c>
      <c r="M39" s="335"/>
      <c r="N39" s="162">
        <f t="shared" si="7"/>
        <v>0</v>
      </c>
      <c r="O39" s="162">
        <f t="shared" si="8"/>
        <v>0</v>
      </c>
      <c r="P39" s="4"/>
    </row>
    <row r="40" spans="2:16">
      <c r="B40" s="9" t="str">
        <f t="shared" si="0"/>
        <v/>
      </c>
      <c r="C40" s="157">
        <f>IF(D11="","-",+C39+1)</f>
        <v>2037</v>
      </c>
      <c r="D40" s="163">
        <f>IF(F39+SUM(E$17:E39)=D$10,F39,D$10-SUM(E$17:E39))</f>
        <v>784749.28750929155</v>
      </c>
      <c r="E40" s="164">
        <f t="shared" si="2"/>
        <v>43141.171249999999</v>
      </c>
      <c r="F40" s="163">
        <f t="shared" si="3"/>
        <v>741608.11625929154</v>
      </c>
      <c r="G40" s="165">
        <f t="shared" si="4"/>
        <v>131077.90500537472</v>
      </c>
      <c r="H40" s="147">
        <f t="shared" si="5"/>
        <v>131077.90500537472</v>
      </c>
      <c r="I40" s="160">
        <f t="shared" si="1"/>
        <v>0</v>
      </c>
      <c r="J40" s="160"/>
      <c r="K40" s="335"/>
      <c r="L40" s="162">
        <f t="shared" si="6"/>
        <v>0</v>
      </c>
      <c r="M40" s="335"/>
      <c r="N40" s="162">
        <f t="shared" si="7"/>
        <v>0</v>
      </c>
      <c r="O40" s="162">
        <f t="shared" si="8"/>
        <v>0</v>
      </c>
      <c r="P40" s="4"/>
    </row>
    <row r="41" spans="2:16">
      <c r="B41" s="9" t="str">
        <f t="shared" si="0"/>
        <v/>
      </c>
      <c r="C41" s="157">
        <f>IF(D11="","-",+C40+1)</f>
        <v>2038</v>
      </c>
      <c r="D41" s="163">
        <f>IF(F40+SUM(E$17:E40)=D$10,F40,D$10-SUM(E$17:E40))</f>
        <v>741608.11625929154</v>
      </c>
      <c r="E41" s="164">
        <f t="shared" si="2"/>
        <v>43141.171249999999</v>
      </c>
      <c r="F41" s="163">
        <f t="shared" si="3"/>
        <v>698466.94500929152</v>
      </c>
      <c r="G41" s="165">
        <f t="shared" si="4"/>
        <v>126106.99363069977</v>
      </c>
      <c r="H41" s="147">
        <f t="shared" si="5"/>
        <v>126106.99363069977</v>
      </c>
      <c r="I41" s="160">
        <f t="shared" si="1"/>
        <v>0</v>
      </c>
      <c r="J41" s="160"/>
      <c r="K41" s="335"/>
      <c r="L41" s="162">
        <f t="shared" si="6"/>
        <v>0</v>
      </c>
      <c r="M41" s="335"/>
      <c r="N41" s="162">
        <f t="shared" si="7"/>
        <v>0</v>
      </c>
      <c r="O41" s="162">
        <f t="shared" si="8"/>
        <v>0</v>
      </c>
      <c r="P41" s="4"/>
    </row>
    <row r="42" spans="2:16">
      <c r="B42" s="9" t="str">
        <f t="shared" si="0"/>
        <v/>
      </c>
      <c r="C42" s="157">
        <f>IF(D11="","-",+C41+1)</f>
        <v>2039</v>
      </c>
      <c r="D42" s="163">
        <f>IF(F41+SUM(E$17:E41)=D$10,F41,D$10-SUM(E$17:E41))</f>
        <v>698466.94500929152</v>
      </c>
      <c r="E42" s="164">
        <f t="shared" si="2"/>
        <v>43141.171249999999</v>
      </c>
      <c r="F42" s="163">
        <f t="shared" si="3"/>
        <v>655325.77375929151</v>
      </c>
      <c r="G42" s="165">
        <f t="shared" si="4"/>
        <v>121136.08225602485</v>
      </c>
      <c r="H42" s="147">
        <f t="shared" si="5"/>
        <v>121136.08225602485</v>
      </c>
      <c r="I42" s="160">
        <f t="shared" si="1"/>
        <v>0</v>
      </c>
      <c r="J42" s="160"/>
      <c r="K42" s="335"/>
      <c r="L42" s="162">
        <f t="shared" si="6"/>
        <v>0</v>
      </c>
      <c r="M42" s="335"/>
      <c r="N42" s="162">
        <f t="shared" si="7"/>
        <v>0</v>
      </c>
      <c r="O42" s="162">
        <f t="shared" si="8"/>
        <v>0</v>
      </c>
      <c r="P42" s="4"/>
    </row>
    <row r="43" spans="2:16">
      <c r="B43" s="9" t="str">
        <f t="shared" si="0"/>
        <v/>
      </c>
      <c r="C43" s="157">
        <f>IF(D11="","-",+C42+1)</f>
        <v>2040</v>
      </c>
      <c r="D43" s="163">
        <f>IF(F42+SUM(E$17:E42)=D$10,F42,D$10-SUM(E$17:E42))</f>
        <v>655325.77375929151</v>
      </c>
      <c r="E43" s="164">
        <f t="shared" si="2"/>
        <v>43141.171249999999</v>
      </c>
      <c r="F43" s="163">
        <f t="shared" si="3"/>
        <v>612184.60250929149</v>
      </c>
      <c r="G43" s="165">
        <f t="shared" si="4"/>
        <v>116165.1708813499</v>
      </c>
      <c r="H43" s="147">
        <f t="shared" si="5"/>
        <v>116165.1708813499</v>
      </c>
      <c r="I43" s="160">
        <f t="shared" si="1"/>
        <v>0</v>
      </c>
      <c r="J43" s="160"/>
      <c r="K43" s="335"/>
      <c r="L43" s="162">
        <f t="shared" si="6"/>
        <v>0</v>
      </c>
      <c r="M43" s="335"/>
      <c r="N43" s="162">
        <f t="shared" si="7"/>
        <v>0</v>
      </c>
      <c r="O43" s="162">
        <f t="shared" si="8"/>
        <v>0</v>
      </c>
      <c r="P43" s="4"/>
    </row>
    <row r="44" spans="2:16">
      <c r="B44" s="9" t="str">
        <f t="shared" si="0"/>
        <v/>
      </c>
      <c r="C44" s="157">
        <f>IF(D11="","-",+C43+1)</f>
        <v>2041</v>
      </c>
      <c r="D44" s="163">
        <f>IF(F43+SUM(E$17:E43)=D$10,F43,D$10-SUM(E$17:E43))</f>
        <v>612184.60250929149</v>
      </c>
      <c r="E44" s="164">
        <f t="shared" si="2"/>
        <v>43141.171249999999</v>
      </c>
      <c r="F44" s="163">
        <f t="shared" si="3"/>
        <v>569043.43125929148</v>
      </c>
      <c r="G44" s="165">
        <f t="shared" si="4"/>
        <v>111194.25950667498</v>
      </c>
      <c r="H44" s="147">
        <f t="shared" si="5"/>
        <v>111194.25950667498</v>
      </c>
      <c r="I44" s="160">
        <f t="shared" si="1"/>
        <v>0</v>
      </c>
      <c r="J44" s="160"/>
      <c r="K44" s="335"/>
      <c r="L44" s="162">
        <f t="shared" si="6"/>
        <v>0</v>
      </c>
      <c r="M44" s="335"/>
      <c r="N44" s="162">
        <f t="shared" si="7"/>
        <v>0</v>
      </c>
      <c r="O44" s="162">
        <f t="shared" si="8"/>
        <v>0</v>
      </c>
      <c r="P44" s="4"/>
    </row>
    <row r="45" spans="2:16">
      <c r="B45" s="9" t="str">
        <f t="shared" si="0"/>
        <v/>
      </c>
      <c r="C45" s="157">
        <f>IF(D11="","-",+C44+1)</f>
        <v>2042</v>
      </c>
      <c r="D45" s="163">
        <f>IF(F44+SUM(E$17:E44)=D$10,F44,D$10-SUM(E$17:E44))</f>
        <v>569043.43125929148</v>
      </c>
      <c r="E45" s="164">
        <f t="shared" si="2"/>
        <v>43141.171249999999</v>
      </c>
      <c r="F45" s="163">
        <f t="shared" si="3"/>
        <v>525902.26000929147</v>
      </c>
      <c r="G45" s="165">
        <f t="shared" si="4"/>
        <v>106223.34813200003</v>
      </c>
      <c r="H45" s="147">
        <f t="shared" si="5"/>
        <v>106223.34813200003</v>
      </c>
      <c r="I45" s="160">
        <f t="shared" si="1"/>
        <v>0</v>
      </c>
      <c r="J45" s="160"/>
      <c r="K45" s="335"/>
      <c r="L45" s="162">
        <f t="shared" si="6"/>
        <v>0</v>
      </c>
      <c r="M45" s="335"/>
      <c r="N45" s="162">
        <f t="shared" si="7"/>
        <v>0</v>
      </c>
      <c r="O45" s="162">
        <f t="shared" si="8"/>
        <v>0</v>
      </c>
      <c r="P45" s="4"/>
    </row>
    <row r="46" spans="2:16">
      <c r="B46" s="9" t="str">
        <f t="shared" si="0"/>
        <v/>
      </c>
      <c r="C46" s="157">
        <f>IF(D11="","-",+C45+1)</f>
        <v>2043</v>
      </c>
      <c r="D46" s="163">
        <f>IF(F45+SUM(E$17:E45)=D$10,F45,D$10-SUM(E$17:E45))</f>
        <v>525902.26000929147</v>
      </c>
      <c r="E46" s="164">
        <f t="shared" si="2"/>
        <v>43141.171249999999</v>
      </c>
      <c r="F46" s="163">
        <f t="shared" si="3"/>
        <v>482761.08875929145</v>
      </c>
      <c r="G46" s="165">
        <f t="shared" si="4"/>
        <v>101252.43675732509</v>
      </c>
      <c r="H46" s="147">
        <f t="shared" si="5"/>
        <v>101252.43675732509</v>
      </c>
      <c r="I46" s="160">
        <f t="shared" si="1"/>
        <v>0</v>
      </c>
      <c r="J46" s="160"/>
      <c r="K46" s="335"/>
      <c r="L46" s="162">
        <f t="shared" si="6"/>
        <v>0</v>
      </c>
      <c r="M46" s="335"/>
      <c r="N46" s="162">
        <f t="shared" si="7"/>
        <v>0</v>
      </c>
      <c r="O46" s="162">
        <f t="shared" si="8"/>
        <v>0</v>
      </c>
      <c r="P46" s="4"/>
    </row>
    <row r="47" spans="2:16">
      <c r="B47" s="9" t="str">
        <f t="shared" si="0"/>
        <v/>
      </c>
      <c r="C47" s="157">
        <f>IF(D11="","-",+C46+1)</f>
        <v>2044</v>
      </c>
      <c r="D47" s="163">
        <f>IF(F46+SUM(E$17:E46)=D$10,F46,D$10-SUM(E$17:E46))</f>
        <v>482761.08875929145</v>
      </c>
      <c r="E47" s="164">
        <f t="shared" si="2"/>
        <v>43141.171249999999</v>
      </c>
      <c r="F47" s="163">
        <f t="shared" si="3"/>
        <v>439619.91750929144</v>
      </c>
      <c r="G47" s="165">
        <f t="shared" si="4"/>
        <v>96281.525382650158</v>
      </c>
      <c r="H47" s="147">
        <f t="shared" si="5"/>
        <v>96281.525382650158</v>
      </c>
      <c r="I47" s="160">
        <f t="shared" si="1"/>
        <v>0</v>
      </c>
      <c r="J47" s="160"/>
      <c r="K47" s="335"/>
      <c r="L47" s="162">
        <f t="shared" si="6"/>
        <v>0</v>
      </c>
      <c r="M47" s="335"/>
      <c r="N47" s="162">
        <f t="shared" si="7"/>
        <v>0</v>
      </c>
      <c r="O47" s="162">
        <f t="shared" si="8"/>
        <v>0</v>
      </c>
      <c r="P47" s="4"/>
    </row>
    <row r="48" spans="2:16">
      <c r="B48" s="9" t="str">
        <f t="shared" si="0"/>
        <v/>
      </c>
      <c r="C48" s="157">
        <f>IF(D11="","-",+C47+1)</f>
        <v>2045</v>
      </c>
      <c r="D48" s="163">
        <f>IF(F47+SUM(E$17:E47)=D$10,F47,D$10-SUM(E$17:E47))</f>
        <v>439619.91750929144</v>
      </c>
      <c r="E48" s="164">
        <f t="shared" si="2"/>
        <v>43141.171249999999</v>
      </c>
      <c r="F48" s="163">
        <f t="shared" si="3"/>
        <v>396478.74625929142</v>
      </c>
      <c r="G48" s="165">
        <f t="shared" si="4"/>
        <v>91310.614007975222</v>
      </c>
      <c r="H48" s="147">
        <f t="shared" si="5"/>
        <v>91310.614007975222</v>
      </c>
      <c r="I48" s="160">
        <f t="shared" si="1"/>
        <v>0</v>
      </c>
      <c r="J48" s="160"/>
      <c r="K48" s="335"/>
      <c r="L48" s="162">
        <f t="shared" si="6"/>
        <v>0</v>
      </c>
      <c r="M48" s="335"/>
      <c r="N48" s="162">
        <f t="shared" si="7"/>
        <v>0</v>
      </c>
      <c r="O48" s="162">
        <f t="shared" si="8"/>
        <v>0</v>
      </c>
      <c r="P48" s="4"/>
    </row>
    <row r="49" spans="2:16">
      <c r="B49" s="9" t="str">
        <f t="shared" si="0"/>
        <v/>
      </c>
      <c r="C49" s="157">
        <f>IF(D11="","-",+C48+1)</f>
        <v>2046</v>
      </c>
      <c r="D49" s="163">
        <f>IF(F48+SUM(E$17:E48)=D$10,F48,D$10-SUM(E$17:E48))</f>
        <v>396478.74625929142</v>
      </c>
      <c r="E49" s="164">
        <f t="shared" si="2"/>
        <v>43141.171249999999</v>
      </c>
      <c r="F49" s="163">
        <f t="shared" si="3"/>
        <v>353337.57500929141</v>
      </c>
      <c r="G49" s="165">
        <f t="shared" si="4"/>
        <v>86339.702633300287</v>
      </c>
      <c r="H49" s="147">
        <f t="shared" si="5"/>
        <v>86339.702633300287</v>
      </c>
      <c r="I49" s="160">
        <f t="shared" si="1"/>
        <v>0</v>
      </c>
      <c r="J49" s="160"/>
      <c r="K49" s="335"/>
      <c r="L49" s="162">
        <f t="shared" si="6"/>
        <v>0</v>
      </c>
      <c r="M49" s="335"/>
      <c r="N49" s="162">
        <f t="shared" si="7"/>
        <v>0</v>
      </c>
      <c r="O49" s="162">
        <f t="shared" si="8"/>
        <v>0</v>
      </c>
      <c r="P49" s="4"/>
    </row>
    <row r="50" spans="2:16">
      <c r="B50" s="9" t="str">
        <f t="shared" si="0"/>
        <v/>
      </c>
      <c r="C50" s="157">
        <f>IF(D11="","-",+C49+1)</f>
        <v>2047</v>
      </c>
      <c r="D50" s="163">
        <f>IF(F49+SUM(E$17:E49)=D$10,F49,D$10-SUM(E$17:E49))</f>
        <v>353337.57500929141</v>
      </c>
      <c r="E50" s="164">
        <f t="shared" si="2"/>
        <v>43141.171249999999</v>
      </c>
      <c r="F50" s="163">
        <f t="shared" si="3"/>
        <v>310196.4037592914</v>
      </c>
      <c r="G50" s="165">
        <f t="shared" si="4"/>
        <v>81368.791258625351</v>
      </c>
      <c r="H50" s="147">
        <f t="shared" si="5"/>
        <v>81368.791258625351</v>
      </c>
      <c r="I50" s="160">
        <f t="shared" si="1"/>
        <v>0</v>
      </c>
      <c r="J50" s="160"/>
      <c r="K50" s="335"/>
      <c r="L50" s="162">
        <f t="shared" si="6"/>
        <v>0</v>
      </c>
      <c r="M50" s="335"/>
      <c r="N50" s="162">
        <f t="shared" si="7"/>
        <v>0</v>
      </c>
      <c r="O50" s="162">
        <f t="shared" si="8"/>
        <v>0</v>
      </c>
      <c r="P50" s="4"/>
    </row>
    <row r="51" spans="2:16">
      <c r="B51" s="9" t="str">
        <f t="shared" si="0"/>
        <v/>
      </c>
      <c r="C51" s="157">
        <f>IF(D11="","-",+C50+1)</f>
        <v>2048</v>
      </c>
      <c r="D51" s="163">
        <f>IF(F50+SUM(E$17:E50)=D$10,F50,D$10-SUM(E$17:E50))</f>
        <v>310196.4037592914</v>
      </c>
      <c r="E51" s="164">
        <f t="shared" si="2"/>
        <v>43141.171249999999</v>
      </c>
      <c r="F51" s="163">
        <f t="shared" si="3"/>
        <v>267055.23250929138</v>
      </c>
      <c r="G51" s="165">
        <f t="shared" si="4"/>
        <v>76397.879883950402</v>
      </c>
      <c r="H51" s="147">
        <f t="shared" si="5"/>
        <v>76397.879883950402</v>
      </c>
      <c r="I51" s="160">
        <f t="shared" si="1"/>
        <v>0</v>
      </c>
      <c r="J51" s="160"/>
      <c r="K51" s="335"/>
      <c r="L51" s="162">
        <f t="shared" si="6"/>
        <v>0</v>
      </c>
      <c r="M51" s="335"/>
      <c r="N51" s="162">
        <f t="shared" si="7"/>
        <v>0</v>
      </c>
      <c r="O51" s="162">
        <f t="shared" si="8"/>
        <v>0</v>
      </c>
      <c r="P51" s="4"/>
    </row>
    <row r="52" spans="2:16">
      <c r="B52" s="9" t="str">
        <f t="shared" si="0"/>
        <v/>
      </c>
      <c r="C52" s="157">
        <f>IF(D11="","-",+C51+1)</f>
        <v>2049</v>
      </c>
      <c r="D52" s="163">
        <f>IF(F51+SUM(E$17:E51)=D$10,F51,D$10-SUM(E$17:E51))</f>
        <v>267055.23250929138</v>
      </c>
      <c r="E52" s="164">
        <f t="shared" si="2"/>
        <v>43141.171249999999</v>
      </c>
      <c r="F52" s="163">
        <f t="shared" si="3"/>
        <v>223914.06125929137</v>
      </c>
      <c r="G52" s="165">
        <f t="shared" si="4"/>
        <v>71426.968509275466</v>
      </c>
      <c r="H52" s="147">
        <f t="shared" si="5"/>
        <v>71426.968509275466</v>
      </c>
      <c r="I52" s="160">
        <f t="shared" si="1"/>
        <v>0</v>
      </c>
      <c r="J52" s="160"/>
      <c r="K52" s="335"/>
      <c r="L52" s="162">
        <f t="shared" si="6"/>
        <v>0</v>
      </c>
      <c r="M52" s="335"/>
      <c r="N52" s="162">
        <f t="shared" si="7"/>
        <v>0</v>
      </c>
      <c r="O52" s="162">
        <f t="shared" si="8"/>
        <v>0</v>
      </c>
      <c r="P52" s="4"/>
    </row>
    <row r="53" spans="2:16">
      <c r="B53" s="9" t="str">
        <f t="shared" si="0"/>
        <v/>
      </c>
      <c r="C53" s="157">
        <f>IF(D11="","-",+C52+1)</f>
        <v>2050</v>
      </c>
      <c r="D53" s="163">
        <f>IF(F52+SUM(E$17:E52)=D$10,F52,D$10-SUM(E$17:E52))</f>
        <v>223914.06125929137</v>
      </c>
      <c r="E53" s="164">
        <f t="shared" si="2"/>
        <v>43141.171249999999</v>
      </c>
      <c r="F53" s="163">
        <f t="shared" si="3"/>
        <v>180772.89000929135</v>
      </c>
      <c r="G53" s="165">
        <f t="shared" si="4"/>
        <v>66456.057134600531</v>
      </c>
      <c r="H53" s="147">
        <f t="shared" si="5"/>
        <v>66456.057134600531</v>
      </c>
      <c r="I53" s="160">
        <f t="shared" si="1"/>
        <v>0</v>
      </c>
      <c r="J53" s="160"/>
      <c r="K53" s="335"/>
      <c r="L53" s="162">
        <f t="shared" si="6"/>
        <v>0</v>
      </c>
      <c r="M53" s="335"/>
      <c r="N53" s="162">
        <f t="shared" si="7"/>
        <v>0</v>
      </c>
      <c r="O53" s="162">
        <f t="shared" si="8"/>
        <v>0</v>
      </c>
      <c r="P53" s="4"/>
    </row>
    <row r="54" spans="2:16">
      <c r="B54" s="9" t="str">
        <f t="shared" si="0"/>
        <v/>
      </c>
      <c r="C54" s="157">
        <f>IF(D11="","-",+C53+1)</f>
        <v>2051</v>
      </c>
      <c r="D54" s="163">
        <f>IF(F53+SUM(E$17:E53)=D$10,F53,D$10-SUM(E$17:E53))</f>
        <v>180772.89000929135</v>
      </c>
      <c r="E54" s="164">
        <f t="shared" si="2"/>
        <v>43141.171249999999</v>
      </c>
      <c r="F54" s="163">
        <f t="shared" si="3"/>
        <v>137631.71875929134</v>
      </c>
      <c r="G54" s="165">
        <f t="shared" si="4"/>
        <v>61485.145759925595</v>
      </c>
      <c r="H54" s="147">
        <f t="shared" si="5"/>
        <v>61485.145759925595</v>
      </c>
      <c r="I54" s="160">
        <f t="shared" si="1"/>
        <v>0</v>
      </c>
      <c r="J54" s="160"/>
      <c r="K54" s="335"/>
      <c r="L54" s="162">
        <f t="shared" si="6"/>
        <v>0</v>
      </c>
      <c r="M54" s="335"/>
      <c r="N54" s="162">
        <f t="shared" si="7"/>
        <v>0</v>
      </c>
      <c r="O54" s="162">
        <f t="shared" si="8"/>
        <v>0</v>
      </c>
      <c r="P54" s="4"/>
    </row>
    <row r="55" spans="2:16">
      <c r="B55" s="9" t="str">
        <f t="shared" si="0"/>
        <v/>
      </c>
      <c r="C55" s="157">
        <f>IF(D11="","-",+C54+1)</f>
        <v>2052</v>
      </c>
      <c r="D55" s="163">
        <f>IF(F54+SUM(E$17:E54)=D$10,F54,D$10-SUM(E$17:E54))</f>
        <v>137631.71875929134</v>
      </c>
      <c r="E55" s="164">
        <f t="shared" si="2"/>
        <v>43141.171249999999</v>
      </c>
      <c r="F55" s="163">
        <f t="shared" si="3"/>
        <v>94490.54750929134</v>
      </c>
      <c r="G55" s="165">
        <f t="shared" si="4"/>
        <v>56514.23438525066</v>
      </c>
      <c r="H55" s="147">
        <f t="shared" si="5"/>
        <v>56514.23438525066</v>
      </c>
      <c r="I55" s="160">
        <f t="shared" si="1"/>
        <v>0</v>
      </c>
      <c r="J55" s="160"/>
      <c r="K55" s="335"/>
      <c r="L55" s="162">
        <f t="shared" si="6"/>
        <v>0</v>
      </c>
      <c r="M55" s="335"/>
      <c r="N55" s="162">
        <f t="shared" si="7"/>
        <v>0</v>
      </c>
      <c r="O55" s="162">
        <f t="shared" si="8"/>
        <v>0</v>
      </c>
      <c r="P55" s="4"/>
    </row>
    <row r="56" spans="2:16">
      <c r="B56" s="9" t="str">
        <f t="shared" si="0"/>
        <v/>
      </c>
      <c r="C56" s="157">
        <f>IF(D11="","-",+C55+1)</f>
        <v>2053</v>
      </c>
      <c r="D56" s="163">
        <f>IF(F55+SUM(E$17:E55)=D$10,F55,D$10-SUM(E$17:E55))</f>
        <v>94490.54750929134</v>
      </c>
      <c r="E56" s="164">
        <f t="shared" si="2"/>
        <v>43141.171249999999</v>
      </c>
      <c r="F56" s="163">
        <f t="shared" si="3"/>
        <v>51349.376259291341</v>
      </c>
      <c r="G56" s="165">
        <f t="shared" si="4"/>
        <v>51543.323010575732</v>
      </c>
      <c r="H56" s="147">
        <f t="shared" si="5"/>
        <v>51543.323010575732</v>
      </c>
      <c r="I56" s="160">
        <f t="shared" si="1"/>
        <v>0</v>
      </c>
      <c r="J56" s="160"/>
      <c r="K56" s="335"/>
      <c r="L56" s="162">
        <f t="shared" si="6"/>
        <v>0</v>
      </c>
      <c r="M56" s="335"/>
      <c r="N56" s="162">
        <f t="shared" si="7"/>
        <v>0</v>
      </c>
      <c r="O56" s="162">
        <f t="shared" si="8"/>
        <v>0</v>
      </c>
      <c r="P56" s="4"/>
    </row>
    <row r="57" spans="2:16">
      <c r="B57" s="9" t="str">
        <f t="shared" si="0"/>
        <v/>
      </c>
      <c r="C57" s="157">
        <f>IF(D11="","-",+C56+1)</f>
        <v>2054</v>
      </c>
      <c r="D57" s="163">
        <f>IF(F56+SUM(E$17:E56)=D$10,F56,D$10-SUM(E$17:E56))</f>
        <v>51349.376259291341</v>
      </c>
      <c r="E57" s="164">
        <f t="shared" si="2"/>
        <v>43141.171249999999</v>
      </c>
      <c r="F57" s="163">
        <f t="shared" si="3"/>
        <v>8208.2050092913414</v>
      </c>
      <c r="G57" s="165">
        <f t="shared" si="4"/>
        <v>46572.411635900797</v>
      </c>
      <c r="H57" s="147">
        <f t="shared" si="5"/>
        <v>46572.411635900797</v>
      </c>
      <c r="I57" s="160">
        <f t="shared" si="1"/>
        <v>0</v>
      </c>
      <c r="J57" s="160"/>
      <c r="K57" s="335"/>
      <c r="L57" s="162">
        <f t="shared" si="6"/>
        <v>0</v>
      </c>
      <c r="M57" s="335"/>
      <c r="N57" s="162">
        <f t="shared" si="7"/>
        <v>0</v>
      </c>
      <c r="O57" s="162">
        <f t="shared" si="8"/>
        <v>0</v>
      </c>
      <c r="P57" s="4"/>
    </row>
    <row r="58" spans="2:16">
      <c r="B58" s="9" t="str">
        <f t="shared" si="0"/>
        <v/>
      </c>
      <c r="C58" s="157">
        <f>IF(D11="","-",+C57+1)</f>
        <v>2055</v>
      </c>
      <c r="D58" s="163">
        <f>IF(F57+SUM(E$17:E57)=D$10,F57,D$10-SUM(E$17:E57))</f>
        <v>8208.2050092913414</v>
      </c>
      <c r="E58" s="164">
        <f t="shared" si="2"/>
        <v>8208.2050092913414</v>
      </c>
      <c r="F58" s="163">
        <f t="shared" si="3"/>
        <v>0</v>
      </c>
      <c r="G58" s="165">
        <f t="shared" si="4"/>
        <v>8681.0973585730044</v>
      </c>
      <c r="H58" s="147">
        <f t="shared" si="5"/>
        <v>8681.0973585730044</v>
      </c>
      <c r="I58" s="160">
        <f t="shared" si="1"/>
        <v>0</v>
      </c>
      <c r="J58" s="160"/>
      <c r="K58" s="335"/>
      <c r="L58" s="162">
        <f t="shared" si="6"/>
        <v>0</v>
      </c>
      <c r="M58" s="335"/>
      <c r="N58" s="162">
        <f t="shared" si="7"/>
        <v>0</v>
      </c>
      <c r="O58" s="162">
        <f t="shared" si="8"/>
        <v>0</v>
      </c>
      <c r="P58" s="4"/>
    </row>
    <row r="59" spans="2:16">
      <c r="B59" s="9" t="str">
        <f t="shared" si="0"/>
        <v/>
      </c>
      <c r="C59" s="157">
        <f>IF(D11="","-",+C58+1)</f>
        <v>2056</v>
      </c>
      <c r="D59" s="163">
        <f>IF(F58+SUM(E$17:E58)=D$10,F58,D$10-SUM(E$17:E58))</f>
        <v>0</v>
      </c>
      <c r="E59" s="164">
        <f t="shared" si="2"/>
        <v>0</v>
      </c>
      <c r="F59" s="163">
        <f t="shared" si="3"/>
        <v>0</v>
      </c>
      <c r="G59" s="165">
        <f t="shared" si="4"/>
        <v>0</v>
      </c>
      <c r="H59" s="147">
        <f t="shared" si="5"/>
        <v>0</v>
      </c>
      <c r="I59" s="160">
        <f t="shared" si="1"/>
        <v>0</v>
      </c>
      <c r="J59" s="160"/>
      <c r="K59" s="335"/>
      <c r="L59" s="162">
        <f t="shared" si="6"/>
        <v>0</v>
      </c>
      <c r="M59" s="335"/>
      <c r="N59" s="162">
        <f t="shared" si="7"/>
        <v>0</v>
      </c>
      <c r="O59" s="162">
        <f t="shared" si="8"/>
        <v>0</v>
      </c>
      <c r="P59" s="4"/>
    </row>
    <row r="60" spans="2:16">
      <c r="B60" s="9" t="str">
        <f t="shared" si="0"/>
        <v/>
      </c>
      <c r="C60" s="157">
        <f>IF(D11="","-",+C59+1)</f>
        <v>2057</v>
      </c>
      <c r="D60" s="163">
        <f>IF(F59+SUM(E$17:E59)=D$10,F59,D$10-SUM(E$17:E59))</f>
        <v>0</v>
      </c>
      <c r="E60" s="164">
        <f t="shared" si="2"/>
        <v>0</v>
      </c>
      <c r="F60" s="163">
        <f t="shared" si="3"/>
        <v>0</v>
      </c>
      <c r="G60" s="165">
        <f t="shared" si="4"/>
        <v>0</v>
      </c>
      <c r="H60" s="147">
        <f t="shared" si="5"/>
        <v>0</v>
      </c>
      <c r="I60" s="160">
        <f t="shared" si="1"/>
        <v>0</v>
      </c>
      <c r="J60" s="160"/>
      <c r="K60" s="335"/>
      <c r="L60" s="162">
        <f t="shared" si="6"/>
        <v>0</v>
      </c>
      <c r="M60" s="335"/>
      <c r="N60" s="162">
        <f t="shared" si="7"/>
        <v>0</v>
      </c>
      <c r="O60" s="162">
        <f t="shared" si="8"/>
        <v>0</v>
      </c>
      <c r="P60" s="4"/>
    </row>
    <row r="61" spans="2:16">
      <c r="B61" s="9" t="str">
        <f t="shared" si="0"/>
        <v/>
      </c>
      <c r="C61" s="157">
        <f>IF(D11="","-",+C60+1)</f>
        <v>2058</v>
      </c>
      <c r="D61" s="163">
        <f>IF(F60+SUM(E$17:E60)=D$10,F60,D$10-SUM(E$17:E60))</f>
        <v>0</v>
      </c>
      <c r="E61" s="164">
        <f t="shared" si="2"/>
        <v>0</v>
      </c>
      <c r="F61" s="163">
        <f t="shared" si="3"/>
        <v>0</v>
      </c>
      <c r="G61" s="165">
        <f t="shared" si="4"/>
        <v>0</v>
      </c>
      <c r="H61" s="147">
        <f t="shared" si="5"/>
        <v>0</v>
      </c>
      <c r="I61" s="160">
        <f t="shared" si="1"/>
        <v>0</v>
      </c>
      <c r="J61" s="160"/>
      <c r="K61" s="335"/>
      <c r="L61" s="162">
        <f t="shared" si="6"/>
        <v>0</v>
      </c>
      <c r="M61" s="335"/>
      <c r="N61" s="162">
        <f t="shared" si="7"/>
        <v>0</v>
      </c>
      <c r="O61" s="162">
        <f t="shared" si="8"/>
        <v>0</v>
      </c>
      <c r="P61" s="4"/>
    </row>
    <row r="62" spans="2:16">
      <c r="B62" s="9" t="str">
        <f t="shared" si="0"/>
        <v/>
      </c>
      <c r="C62" s="157">
        <f>IF(D11="","-",+C61+1)</f>
        <v>2059</v>
      </c>
      <c r="D62" s="163">
        <f>IF(F61+SUM(E$17:E61)=D$10,F61,D$10-SUM(E$17:E61))</f>
        <v>0</v>
      </c>
      <c r="E62" s="164">
        <f t="shared" si="2"/>
        <v>0</v>
      </c>
      <c r="F62" s="163">
        <f t="shared" si="3"/>
        <v>0</v>
      </c>
      <c r="G62" s="165">
        <f t="shared" si="4"/>
        <v>0</v>
      </c>
      <c r="H62" s="147">
        <f t="shared" si="5"/>
        <v>0</v>
      </c>
      <c r="I62" s="160">
        <f t="shared" si="1"/>
        <v>0</v>
      </c>
      <c r="J62" s="160"/>
      <c r="K62" s="335"/>
      <c r="L62" s="162">
        <f t="shared" si="6"/>
        <v>0</v>
      </c>
      <c r="M62" s="335"/>
      <c r="N62" s="162">
        <f t="shared" si="7"/>
        <v>0</v>
      </c>
      <c r="O62" s="162">
        <f t="shared" si="8"/>
        <v>0</v>
      </c>
      <c r="P62" s="4"/>
    </row>
    <row r="63" spans="2:16">
      <c r="B63" s="9" t="str">
        <f t="shared" si="0"/>
        <v/>
      </c>
      <c r="C63" s="157">
        <f>IF(D11="","-",+C62+1)</f>
        <v>2060</v>
      </c>
      <c r="D63" s="163">
        <f>IF(F62+SUM(E$17:E62)=D$10,F62,D$10-SUM(E$17:E62))</f>
        <v>0</v>
      </c>
      <c r="E63" s="164">
        <f t="shared" si="2"/>
        <v>0</v>
      </c>
      <c r="F63" s="163">
        <f t="shared" si="3"/>
        <v>0</v>
      </c>
      <c r="G63" s="165">
        <f t="shared" si="4"/>
        <v>0</v>
      </c>
      <c r="H63" s="147">
        <f t="shared" si="5"/>
        <v>0</v>
      </c>
      <c r="I63" s="160">
        <f t="shared" si="1"/>
        <v>0</v>
      </c>
      <c r="J63" s="160"/>
      <c r="K63" s="335"/>
      <c r="L63" s="162">
        <f t="shared" si="6"/>
        <v>0</v>
      </c>
      <c r="M63" s="335"/>
      <c r="N63" s="162">
        <f t="shared" si="7"/>
        <v>0</v>
      </c>
      <c r="O63" s="162">
        <f t="shared" si="8"/>
        <v>0</v>
      </c>
      <c r="P63" s="4"/>
    </row>
    <row r="64" spans="2:16">
      <c r="B64" s="9" t="str">
        <f t="shared" si="0"/>
        <v/>
      </c>
      <c r="C64" s="157">
        <f>IF(D11="","-",+C63+1)</f>
        <v>2061</v>
      </c>
      <c r="D64" s="163">
        <f>IF(F63+SUM(E$17:E63)=D$10,F63,D$10-SUM(E$17:E63))</f>
        <v>0</v>
      </c>
      <c r="E64" s="164">
        <f t="shared" si="2"/>
        <v>0</v>
      </c>
      <c r="F64" s="163">
        <f t="shared" si="3"/>
        <v>0</v>
      </c>
      <c r="G64" s="165">
        <f t="shared" si="4"/>
        <v>0</v>
      </c>
      <c r="H64" s="147">
        <f t="shared" si="5"/>
        <v>0</v>
      </c>
      <c r="I64" s="160">
        <f t="shared" si="1"/>
        <v>0</v>
      </c>
      <c r="J64" s="160"/>
      <c r="K64" s="335"/>
      <c r="L64" s="162">
        <f t="shared" si="6"/>
        <v>0</v>
      </c>
      <c r="M64" s="335"/>
      <c r="N64" s="162">
        <f t="shared" si="7"/>
        <v>0</v>
      </c>
      <c r="O64" s="162">
        <f t="shared" si="8"/>
        <v>0</v>
      </c>
      <c r="P64" s="4"/>
    </row>
    <row r="65" spans="2:16">
      <c r="B65" s="9" t="str">
        <f t="shared" si="0"/>
        <v/>
      </c>
      <c r="C65" s="157">
        <f>IF(D11="","-",+C64+1)</f>
        <v>2062</v>
      </c>
      <c r="D65" s="163">
        <f>IF(F64+SUM(E$17:E64)=D$10,F64,D$10-SUM(E$17:E64))</f>
        <v>0</v>
      </c>
      <c r="E65" s="164">
        <f t="shared" si="2"/>
        <v>0</v>
      </c>
      <c r="F65" s="163">
        <f t="shared" si="3"/>
        <v>0</v>
      </c>
      <c r="G65" s="165">
        <f t="shared" si="4"/>
        <v>0</v>
      </c>
      <c r="H65" s="147">
        <f t="shared" si="5"/>
        <v>0</v>
      </c>
      <c r="I65" s="160">
        <f t="shared" si="1"/>
        <v>0</v>
      </c>
      <c r="J65" s="160"/>
      <c r="K65" s="335"/>
      <c r="L65" s="162">
        <f t="shared" si="6"/>
        <v>0</v>
      </c>
      <c r="M65" s="335"/>
      <c r="N65" s="162">
        <f t="shared" si="7"/>
        <v>0</v>
      </c>
      <c r="O65" s="162">
        <f t="shared" si="8"/>
        <v>0</v>
      </c>
      <c r="P65" s="4"/>
    </row>
    <row r="66" spans="2:16">
      <c r="B66" s="9" t="str">
        <f t="shared" si="0"/>
        <v/>
      </c>
      <c r="C66" s="157">
        <f>IF(D11="","-",+C65+1)</f>
        <v>2063</v>
      </c>
      <c r="D66" s="163">
        <f>IF(F65+SUM(E$17:E65)=D$10,F65,D$10-SUM(E$17:E65))</f>
        <v>0</v>
      </c>
      <c r="E66" s="164">
        <f t="shared" si="2"/>
        <v>0</v>
      </c>
      <c r="F66" s="163">
        <f t="shared" si="3"/>
        <v>0</v>
      </c>
      <c r="G66" s="165">
        <f t="shared" si="4"/>
        <v>0</v>
      </c>
      <c r="H66" s="147">
        <f t="shared" si="5"/>
        <v>0</v>
      </c>
      <c r="I66" s="160">
        <f t="shared" si="1"/>
        <v>0</v>
      </c>
      <c r="J66" s="160"/>
      <c r="K66" s="335"/>
      <c r="L66" s="162">
        <f t="shared" si="6"/>
        <v>0</v>
      </c>
      <c r="M66" s="335"/>
      <c r="N66" s="162">
        <f t="shared" si="7"/>
        <v>0</v>
      </c>
      <c r="O66" s="162">
        <f t="shared" si="8"/>
        <v>0</v>
      </c>
      <c r="P66" s="4"/>
    </row>
    <row r="67" spans="2:16">
      <c r="B67" s="9" t="str">
        <f t="shared" si="0"/>
        <v/>
      </c>
      <c r="C67" s="157">
        <f>IF(D11="","-",+C66+1)</f>
        <v>2064</v>
      </c>
      <c r="D67" s="163">
        <f>IF(F66+SUM(E$17:E66)=D$10,F66,D$10-SUM(E$17:E66))</f>
        <v>0</v>
      </c>
      <c r="E67" s="164">
        <f t="shared" si="2"/>
        <v>0</v>
      </c>
      <c r="F67" s="163">
        <f t="shared" si="3"/>
        <v>0</v>
      </c>
      <c r="G67" s="165">
        <f t="shared" si="4"/>
        <v>0</v>
      </c>
      <c r="H67" s="147">
        <f t="shared" si="5"/>
        <v>0</v>
      </c>
      <c r="I67" s="160">
        <f t="shared" si="1"/>
        <v>0</v>
      </c>
      <c r="J67" s="160"/>
      <c r="K67" s="335"/>
      <c r="L67" s="162">
        <f t="shared" si="6"/>
        <v>0</v>
      </c>
      <c r="M67" s="335"/>
      <c r="N67" s="162">
        <f t="shared" si="7"/>
        <v>0</v>
      </c>
      <c r="O67" s="162">
        <f t="shared" si="8"/>
        <v>0</v>
      </c>
      <c r="P67" s="4"/>
    </row>
    <row r="68" spans="2:16">
      <c r="B68" s="9" t="str">
        <f t="shared" si="0"/>
        <v/>
      </c>
      <c r="C68" s="157">
        <f>IF(D11="","-",+C67+1)</f>
        <v>2065</v>
      </c>
      <c r="D68" s="163">
        <f>IF(F67+SUM(E$17:E67)=D$10,F67,D$10-SUM(E$17:E67))</f>
        <v>0</v>
      </c>
      <c r="E68" s="164">
        <f t="shared" si="2"/>
        <v>0</v>
      </c>
      <c r="F68" s="163">
        <f t="shared" si="3"/>
        <v>0</v>
      </c>
      <c r="G68" s="165">
        <f t="shared" si="4"/>
        <v>0</v>
      </c>
      <c r="H68" s="147">
        <f t="shared" si="5"/>
        <v>0</v>
      </c>
      <c r="I68" s="160">
        <f t="shared" si="1"/>
        <v>0</v>
      </c>
      <c r="J68" s="160"/>
      <c r="K68" s="335"/>
      <c r="L68" s="162">
        <f t="shared" si="6"/>
        <v>0</v>
      </c>
      <c r="M68" s="335"/>
      <c r="N68" s="162">
        <f t="shared" si="7"/>
        <v>0</v>
      </c>
      <c r="O68" s="162">
        <f t="shared" si="8"/>
        <v>0</v>
      </c>
      <c r="P68" s="4"/>
    </row>
    <row r="69" spans="2:16">
      <c r="B69" s="9" t="str">
        <f t="shared" si="0"/>
        <v/>
      </c>
      <c r="C69" s="157">
        <f>IF(D11="","-",+C68+1)</f>
        <v>2066</v>
      </c>
      <c r="D69" s="163">
        <f>IF(F68+SUM(E$17:E68)=D$10,F68,D$10-SUM(E$17:E68))</f>
        <v>0</v>
      </c>
      <c r="E69" s="164">
        <f t="shared" si="2"/>
        <v>0</v>
      </c>
      <c r="F69" s="163">
        <f t="shared" si="3"/>
        <v>0</v>
      </c>
      <c r="G69" s="165">
        <f t="shared" si="4"/>
        <v>0</v>
      </c>
      <c r="H69" s="147">
        <f t="shared" si="5"/>
        <v>0</v>
      </c>
      <c r="I69" s="160">
        <f t="shared" si="1"/>
        <v>0</v>
      </c>
      <c r="J69" s="160"/>
      <c r="K69" s="335"/>
      <c r="L69" s="162">
        <f t="shared" si="6"/>
        <v>0</v>
      </c>
      <c r="M69" s="335"/>
      <c r="N69" s="162">
        <f t="shared" si="7"/>
        <v>0</v>
      </c>
      <c r="O69" s="162">
        <f t="shared" si="8"/>
        <v>0</v>
      </c>
      <c r="P69" s="4"/>
    </row>
    <row r="70" spans="2:16">
      <c r="B70" s="9" t="str">
        <f t="shared" si="0"/>
        <v/>
      </c>
      <c r="C70" s="157">
        <f>IF(D11="","-",+C69+1)</f>
        <v>2067</v>
      </c>
      <c r="D70" s="163">
        <f>IF(F69+SUM(E$17:E69)=D$10,F69,D$10-SUM(E$17:E69))</f>
        <v>0</v>
      </c>
      <c r="E70" s="164">
        <f t="shared" si="2"/>
        <v>0</v>
      </c>
      <c r="F70" s="163">
        <f t="shared" si="3"/>
        <v>0</v>
      </c>
      <c r="G70" s="165">
        <f t="shared" si="4"/>
        <v>0</v>
      </c>
      <c r="H70" s="147">
        <f t="shared" si="5"/>
        <v>0</v>
      </c>
      <c r="I70" s="160">
        <f t="shared" si="1"/>
        <v>0</v>
      </c>
      <c r="J70" s="160"/>
      <c r="K70" s="335"/>
      <c r="L70" s="162">
        <f t="shared" si="6"/>
        <v>0</v>
      </c>
      <c r="M70" s="335"/>
      <c r="N70" s="162">
        <f t="shared" si="7"/>
        <v>0</v>
      </c>
      <c r="O70" s="162">
        <f t="shared" si="8"/>
        <v>0</v>
      </c>
      <c r="P70" s="4"/>
    </row>
    <row r="71" spans="2:16">
      <c r="B71" s="9" t="str">
        <f t="shared" si="0"/>
        <v/>
      </c>
      <c r="C71" s="157">
        <f>IF(D11="","-",+C70+1)</f>
        <v>2068</v>
      </c>
      <c r="D71" s="163">
        <f>IF(F70+SUM(E$17:E70)=D$10,F70,D$10-SUM(E$17:E70))</f>
        <v>0</v>
      </c>
      <c r="E71" s="164">
        <f t="shared" si="2"/>
        <v>0</v>
      </c>
      <c r="F71" s="163">
        <f t="shared" si="3"/>
        <v>0</v>
      </c>
      <c r="G71" s="165">
        <f t="shared" si="4"/>
        <v>0</v>
      </c>
      <c r="H71" s="147">
        <f t="shared" si="5"/>
        <v>0</v>
      </c>
      <c r="I71" s="160">
        <f t="shared" si="1"/>
        <v>0</v>
      </c>
      <c r="J71" s="160"/>
      <c r="K71" s="335"/>
      <c r="L71" s="162">
        <f t="shared" si="6"/>
        <v>0</v>
      </c>
      <c r="M71" s="335"/>
      <c r="N71" s="162">
        <f t="shared" si="7"/>
        <v>0</v>
      </c>
      <c r="O71" s="162">
        <f t="shared" si="8"/>
        <v>0</v>
      </c>
      <c r="P71" s="4"/>
    </row>
    <row r="72" spans="2:16" ht="13.5" thickBot="1">
      <c r="B72" s="9" t="str">
        <f t="shared" si="0"/>
        <v/>
      </c>
      <c r="C72" s="168">
        <f>IF(D11="","-",+C71+1)</f>
        <v>2069</v>
      </c>
      <c r="D72" s="169">
        <f>IF(F71+SUM(E$17:E71)=D$10,F71,D$10-SUM(E$17:E71))</f>
        <v>0</v>
      </c>
      <c r="E72" s="170">
        <f t="shared" si="2"/>
        <v>0</v>
      </c>
      <c r="F72" s="169">
        <f t="shared" si="3"/>
        <v>0</v>
      </c>
      <c r="G72" s="169">
        <f t="shared" si="4"/>
        <v>0</v>
      </c>
      <c r="H72" s="169">
        <f t="shared" si="5"/>
        <v>0</v>
      </c>
      <c r="I72" s="172">
        <f t="shared" si="1"/>
        <v>0</v>
      </c>
      <c r="J72" s="160"/>
      <c r="K72" s="336"/>
      <c r="L72" s="173">
        <f t="shared" si="6"/>
        <v>0</v>
      </c>
      <c r="M72" s="336"/>
      <c r="N72" s="173">
        <f t="shared" si="7"/>
        <v>0</v>
      </c>
      <c r="O72" s="173">
        <f t="shared" si="8"/>
        <v>0</v>
      </c>
      <c r="P72" s="4"/>
    </row>
    <row r="73" spans="2:16">
      <c r="C73" s="158" t="s">
        <v>72</v>
      </c>
      <c r="D73" s="115"/>
      <c r="E73" s="115">
        <f>SUM(E17:E72)</f>
        <v>1725646.8499999999</v>
      </c>
      <c r="F73" s="115"/>
      <c r="G73" s="115">
        <f>SUM(G17:G72)</f>
        <v>6053689.4042221485</v>
      </c>
      <c r="H73" s="115">
        <f>SUM(H17:H72)</f>
        <v>6053689.4042221485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18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241085.06195652173</v>
      </c>
      <c r="N87" s="202">
        <f>IF(J92&lt;D11,0,VLOOKUP(J92,C17:O72,11))</f>
        <v>241085.06195652173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245122.86632871011</v>
      </c>
      <c r="N88" s="204">
        <f>IF(J92&lt;D11,0,VLOOKUP(J92,C99:P154,7))</f>
        <v>245122.86632871011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Darlington-Red Rock 138 kV line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4037.8043721883732</v>
      </c>
      <c r="N89" s="207">
        <f>+N88-N87</f>
        <v>4037.8043721883732</v>
      </c>
      <c r="O89" s="208">
        <f>+O88-O87</f>
        <v>0</v>
      </c>
      <c r="P89" s="1"/>
    </row>
    <row r="90" spans="1:16" ht="13.5" thickBot="1">
      <c r="C90" s="174"/>
      <c r="D90" s="447" t="s">
        <v>265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TP2012112</v>
      </c>
      <c r="E91" s="210" t="str">
        <f>E9</f>
        <v xml:space="preserve">  SPP Project ID = 30746</v>
      </c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451">
        <v>1725647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2014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4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37514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2014</v>
      </c>
      <c r="D99" s="436"/>
      <c r="E99" s="437"/>
      <c r="F99" s="438"/>
      <c r="G99" s="448"/>
      <c r="H99" s="449"/>
      <c r="I99" s="450"/>
      <c r="J99" s="162">
        <v>0</v>
      </c>
      <c r="K99" s="162"/>
      <c r="L99" s="338">
        <f>H99</f>
        <v>0</v>
      </c>
      <c r="M99" s="175">
        <f>IF(L99&lt;&gt;0,+H99-L99,0)</f>
        <v>0</v>
      </c>
      <c r="N99" s="338">
        <f>I99</f>
        <v>0</v>
      </c>
      <c r="O99" s="160">
        <f>IF(N99&lt;&gt;0,+I99-N99,0)</f>
        <v>0</v>
      </c>
      <c r="P99" s="162">
        <f>+O99-M99</f>
        <v>0</v>
      </c>
    </row>
    <row r="100" spans="1:16">
      <c r="B100" s="9" t="str">
        <f>IF(D100=F99,"","IU")</f>
        <v>IU</v>
      </c>
      <c r="C100" s="157">
        <f>IF(D93="","-",+C99+1)</f>
        <v>2015</v>
      </c>
      <c r="D100" s="420">
        <v>1703523.1724358976</v>
      </c>
      <c r="E100" s="421">
        <v>32760</v>
      </c>
      <c r="F100" s="420">
        <v>1670763.1724358976</v>
      </c>
      <c r="G100" s="421">
        <v>1687143.1724358976</v>
      </c>
      <c r="H100" s="425">
        <v>262957.1205792831</v>
      </c>
      <c r="I100" s="420">
        <v>262957.1205792831</v>
      </c>
      <c r="J100" s="162">
        <f>+I100-H100</f>
        <v>0</v>
      </c>
      <c r="K100" s="162"/>
      <c r="L100" s="338">
        <f>H100</f>
        <v>262957.1205792831</v>
      </c>
      <c r="M100" s="175">
        <f>IF(L100&lt;&gt;0,+H100-L100,0)</f>
        <v>0</v>
      </c>
      <c r="N100" s="338">
        <f>I100</f>
        <v>262957.1205792831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9">IF(D101=F100,"","IU")</f>
        <v>IU</v>
      </c>
      <c r="C101" s="157">
        <f>IF(D93="","-",+C100+1)</f>
        <v>2016</v>
      </c>
      <c r="D101" s="420">
        <v>1692887</v>
      </c>
      <c r="E101" s="421">
        <v>37514</v>
      </c>
      <c r="F101" s="420">
        <v>1655373</v>
      </c>
      <c r="G101" s="421">
        <v>1674130</v>
      </c>
      <c r="H101" s="425">
        <v>253335.72266301585</v>
      </c>
      <c r="I101" s="420">
        <v>253335.72266301585</v>
      </c>
      <c r="J101" s="162">
        <v>0</v>
      </c>
      <c r="K101" s="162"/>
      <c r="L101" s="338">
        <f>H101</f>
        <v>253335.72266301585</v>
      </c>
      <c r="M101" s="175">
        <f>IF(L101&lt;&gt;0,+H101-L101,0)</f>
        <v>0</v>
      </c>
      <c r="N101" s="338">
        <f>I101</f>
        <v>253335.72266301585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9"/>
        <v/>
      </c>
      <c r="C102" s="157">
        <f>IF(D93="","-",+C101+1)</f>
        <v>2017</v>
      </c>
      <c r="D102" s="158">
        <f>IF(F101+SUM(E$99:E101)=D$92,F101,D$92-SUM(E$99:E101))</f>
        <v>1655373</v>
      </c>
      <c r="E102" s="164">
        <f t="shared" ref="E102:E154" si="10">IF(+J$96&lt;F101,J$96,D102)</f>
        <v>37514</v>
      </c>
      <c r="F102" s="163">
        <f t="shared" ref="F102:F154" si="11">+D102-E102</f>
        <v>1617859</v>
      </c>
      <c r="G102" s="163">
        <f t="shared" ref="G102:G154" si="12">+(F102+D102)/2</f>
        <v>1636616</v>
      </c>
      <c r="H102" s="167">
        <f>+J$94*G102+E102</f>
        <v>245122.86632871011</v>
      </c>
      <c r="I102" s="317">
        <f t="shared" ref="I102:I154" si="13">+J$95*G102+E102</f>
        <v>245122.86632871011</v>
      </c>
      <c r="J102" s="162">
        <f t="shared" ref="J102:J154" si="14">+I102-H102</f>
        <v>0</v>
      </c>
      <c r="K102" s="162"/>
      <c r="L102" s="335"/>
      <c r="M102" s="162">
        <f t="shared" ref="M102:M130" si="15">IF(L102&lt;&gt;0,+H102-L102,0)</f>
        <v>0</v>
      </c>
      <c r="N102" s="335"/>
      <c r="O102" s="162">
        <f t="shared" ref="O102:O130" si="16">IF(N102&lt;&gt;0,+I102-N102,0)</f>
        <v>0</v>
      </c>
      <c r="P102" s="162">
        <f t="shared" ref="P102:P130" si="17">+O102-M102</f>
        <v>0</v>
      </c>
    </row>
    <row r="103" spans="1:16">
      <c r="B103" s="9" t="str">
        <f t="shared" si="9"/>
        <v/>
      </c>
      <c r="C103" s="157">
        <f>IF(D93="","-",+C102+1)</f>
        <v>2018</v>
      </c>
      <c r="D103" s="158">
        <f>IF(F102+SUM(E$99:E102)=D$92,F102,D$92-SUM(E$99:E102))</f>
        <v>1617859</v>
      </c>
      <c r="E103" s="164">
        <f t="shared" si="10"/>
        <v>37514</v>
      </c>
      <c r="F103" s="163">
        <f t="shared" si="11"/>
        <v>1580345</v>
      </c>
      <c r="G103" s="163">
        <f t="shared" si="12"/>
        <v>1599102</v>
      </c>
      <c r="H103" s="167">
        <f t="shared" ref="H103:H154" si="18">+J$94*G103+E103</f>
        <v>240364.12083712552</v>
      </c>
      <c r="I103" s="317">
        <f t="shared" si="13"/>
        <v>240364.12083712552</v>
      </c>
      <c r="J103" s="162">
        <f t="shared" si="14"/>
        <v>0</v>
      </c>
      <c r="K103" s="162"/>
      <c r="L103" s="335"/>
      <c r="M103" s="162">
        <f t="shared" si="15"/>
        <v>0</v>
      </c>
      <c r="N103" s="335"/>
      <c r="O103" s="162">
        <f t="shared" si="16"/>
        <v>0</v>
      </c>
      <c r="P103" s="162">
        <f t="shared" si="17"/>
        <v>0</v>
      </c>
    </row>
    <row r="104" spans="1:16">
      <c r="B104" s="9" t="str">
        <f t="shared" si="9"/>
        <v/>
      </c>
      <c r="C104" s="157">
        <f>IF(D93="","-",+C103+1)</f>
        <v>2019</v>
      </c>
      <c r="D104" s="158">
        <f>IF(F103+SUM(E$99:E103)=D$92,F103,D$92-SUM(E$99:E103))</f>
        <v>1580345</v>
      </c>
      <c r="E104" s="164">
        <f t="shared" si="10"/>
        <v>37514</v>
      </c>
      <c r="F104" s="163">
        <f t="shared" si="11"/>
        <v>1542831</v>
      </c>
      <c r="G104" s="163">
        <f t="shared" si="12"/>
        <v>1561588</v>
      </c>
      <c r="H104" s="167">
        <f t="shared" si="18"/>
        <v>235605.3753455409</v>
      </c>
      <c r="I104" s="317">
        <f t="shared" si="13"/>
        <v>235605.3753455409</v>
      </c>
      <c r="J104" s="162">
        <f t="shared" si="14"/>
        <v>0</v>
      </c>
      <c r="K104" s="162"/>
      <c r="L104" s="335"/>
      <c r="M104" s="162">
        <f t="shared" si="15"/>
        <v>0</v>
      </c>
      <c r="N104" s="335"/>
      <c r="O104" s="162">
        <f t="shared" si="16"/>
        <v>0</v>
      </c>
      <c r="P104" s="162">
        <f t="shared" si="17"/>
        <v>0</v>
      </c>
    </row>
    <row r="105" spans="1:16">
      <c r="B105" s="9" t="str">
        <f t="shared" si="9"/>
        <v/>
      </c>
      <c r="C105" s="157">
        <f>IF(D93="","-",+C104+1)</f>
        <v>2020</v>
      </c>
      <c r="D105" s="158">
        <f>IF(F104+SUM(E$99:E104)=D$92,F104,D$92-SUM(E$99:E104))</f>
        <v>1542831</v>
      </c>
      <c r="E105" s="164">
        <f t="shared" si="10"/>
        <v>37514</v>
      </c>
      <c r="F105" s="163">
        <f t="shared" si="11"/>
        <v>1505317</v>
      </c>
      <c r="G105" s="163">
        <f t="shared" si="12"/>
        <v>1524074</v>
      </c>
      <c r="H105" s="167">
        <f t="shared" si="18"/>
        <v>230846.62985395628</v>
      </c>
      <c r="I105" s="317">
        <f t="shared" si="13"/>
        <v>230846.62985395628</v>
      </c>
      <c r="J105" s="162">
        <f t="shared" si="14"/>
        <v>0</v>
      </c>
      <c r="K105" s="162"/>
      <c r="L105" s="335"/>
      <c r="M105" s="162">
        <f t="shared" si="15"/>
        <v>0</v>
      </c>
      <c r="N105" s="335"/>
      <c r="O105" s="162">
        <f t="shared" si="16"/>
        <v>0</v>
      </c>
      <c r="P105" s="162">
        <f t="shared" si="17"/>
        <v>0</v>
      </c>
    </row>
    <row r="106" spans="1:16">
      <c r="B106" s="9" t="str">
        <f t="shared" si="9"/>
        <v/>
      </c>
      <c r="C106" s="157">
        <f>IF(D93="","-",+C105+1)</f>
        <v>2021</v>
      </c>
      <c r="D106" s="158">
        <f>IF(F105+SUM(E$99:E105)=D$92,F105,D$92-SUM(E$99:E105))</f>
        <v>1505317</v>
      </c>
      <c r="E106" s="164">
        <f t="shared" si="10"/>
        <v>37514</v>
      </c>
      <c r="F106" s="163">
        <f t="shared" si="11"/>
        <v>1467803</v>
      </c>
      <c r="G106" s="163">
        <f t="shared" si="12"/>
        <v>1486560</v>
      </c>
      <c r="H106" s="167">
        <f t="shared" si="18"/>
        <v>226087.8843623717</v>
      </c>
      <c r="I106" s="317">
        <f t="shared" si="13"/>
        <v>226087.8843623717</v>
      </c>
      <c r="J106" s="162">
        <f t="shared" si="14"/>
        <v>0</v>
      </c>
      <c r="K106" s="162"/>
      <c r="L106" s="335"/>
      <c r="M106" s="162">
        <f t="shared" si="15"/>
        <v>0</v>
      </c>
      <c r="N106" s="335"/>
      <c r="O106" s="162">
        <f t="shared" si="16"/>
        <v>0</v>
      </c>
      <c r="P106" s="162">
        <f t="shared" si="17"/>
        <v>0</v>
      </c>
    </row>
    <row r="107" spans="1:16">
      <c r="B107" s="9" t="str">
        <f t="shared" si="9"/>
        <v/>
      </c>
      <c r="C107" s="157">
        <f>IF(D93="","-",+C106+1)</f>
        <v>2022</v>
      </c>
      <c r="D107" s="158">
        <f>IF(F106+SUM(E$99:E106)=D$92,F106,D$92-SUM(E$99:E106))</f>
        <v>1467803</v>
      </c>
      <c r="E107" s="164">
        <f t="shared" si="10"/>
        <v>37514</v>
      </c>
      <c r="F107" s="163">
        <f t="shared" si="11"/>
        <v>1430289</v>
      </c>
      <c r="G107" s="163">
        <f t="shared" si="12"/>
        <v>1449046</v>
      </c>
      <c r="H107" s="167">
        <f t="shared" si="18"/>
        <v>221329.13887078708</v>
      </c>
      <c r="I107" s="317">
        <f t="shared" si="13"/>
        <v>221329.13887078708</v>
      </c>
      <c r="J107" s="162">
        <f t="shared" si="14"/>
        <v>0</v>
      </c>
      <c r="K107" s="162"/>
      <c r="L107" s="335"/>
      <c r="M107" s="162">
        <f t="shared" si="15"/>
        <v>0</v>
      </c>
      <c r="N107" s="335"/>
      <c r="O107" s="162">
        <f t="shared" si="16"/>
        <v>0</v>
      </c>
      <c r="P107" s="162">
        <f t="shared" si="17"/>
        <v>0</v>
      </c>
    </row>
    <row r="108" spans="1:16">
      <c r="B108" s="9" t="str">
        <f t="shared" si="9"/>
        <v/>
      </c>
      <c r="C108" s="157">
        <f>IF(D93="","-",+C107+1)</f>
        <v>2023</v>
      </c>
      <c r="D108" s="158">
        <f>IF(F107+SUM(E$99:E107)=D$92,F107,D$92-SUM(E$99:E107))</f>
        <v>1430289</v>
      </c>
      <c r="E108" s="164">
        <f t="shared" si="10"/>
        <v>37514</v>
      </c>
      <c r="F108" s="163">
        <f t="shared" si="11"/>
        <v>1392775</v>
      </c>
      <c r="G108" s="163">
        <f t="shared" si="12"/>
        <v>1411532</v>
      </c>
      <c r="H108" s="167">
        <f t="shared" si="18"/>
        <v>216570.39337920249</v>
      </c>
      <c r="I108" s="317">
        <f t="shared" si="13"/>
        <v>216570.39337920249</v>
      </c>
      <c r="J108" s="162">
        <f t="shared" si="14"/>
        <v>0</v>
      </c>
      <c r="K108" s="162"/>
      <c r="L108" s="335"/>
      <c r="M108" s="162">
        <f t="shared" si="15"/>
        <v>0</v>
      </c>
      <c r="N108" s="335"/>
      <c r="O108" s="162">
        <f t="shared" si="16"/>
        <v>0</v>
      </c>
      <c r="P108" s="162">
        <f t="shared" si="17"/>
        <v>0</v>
      </c>
    </row>
    <row r="109" spans="1:16">
      <c r="B109" s="9" t="str">
        <f t="shared" si="9"/>
        <v/>
      </c>
      <c r="C109" s="157">
        <f>IF(D93="","-",+C108+1)</f>
        <v>2024</v>
      </c>
      <c r="D109" s="158">
        <f>IF(F108+SUM(E$99:E108)=D$92,F108,D$92-SUM(E$99:E108))</f>
        <v>1392775</v>
      </c>
      <c r="E109" s="164">
        <f t="shared" si="10"/>
        <v>37514</v>
      </c>
      <c r="F109" s="163">
        <f t="shared" si="11"/>
        <v>1355261</v>
      </c>
      <c r="G109" s="163">
        <f t="shared" si="12"/>
        <v>1374018</v>
      </c>
      <c r="H109" s="167">
        <f t="shared" si="18"/>
        <v>211811.64788761787</v>
      </c>
      <c r="I109" s="317">
        <f t="shared" si="13"/>
        <v>211811.64788761787</v>
      </c>
      <c r="J109" s="162">
        <f t="shared" si="14"/>
        <v>0</v>
      </c>
      <c r="K109" s="162"/>
      <c r="L109" s="335"/>
      <c r="M109" s="162">
        <f t="shared" si="15"/>
        <v>0</v>
      </c>
      <c r="N109" s="335"/>
      <c r="O109" s="162">
        <f t="shared" si="16"/>
        <v>0</v>
      </c>
      <c r="P109" s="162">
        <f t="shared" si="17"/>
        <v>0</v>
      </c>
    </row>
    <row r="110" spans="1:16">
      <c r="B110" s="9" t="str">
        <f t="shared" si="9"/>
        <v/>
      </c>
      <c r="C110" s="157">
        <f>IF(D93="","-",+C109+1)</f>
        <v>2025</v>
      </c>
      <c r="D110" s="158">
        <f>IF(F109+SUM(E$99:E109)=D$92,F109,D$92-SUM(E$99:E109))</f>
        <v>1355261</v>
      </c>
      <c r="E110" s="164">
        <f t="shared" si="10"/>
        <v>37514</v>
      </c>
      <c r="F110" s="163">
        <f t="shared" si="11"/>
        <v>1317747</v>
      </c>
      <c r="G110" s="163">
        <f t="shared" si="12"/>
        <v>1336504</v>
      </c>
      <c r="H110" s="167">
        <f t="shared" si="18"/>
        <v>207052.90239603326</v>
      </c>
      <c r="I110" s="317">
        <f t="shared" si="13"/>
        <v>207052.90239603326</v>
      </c>
      <c r="J110" s="162">
        <f t="shared" si="14"/>
        <v>0</v>
      </c>
      <c r="K110" s="162"/>
      <c r="L110" s="335"/>
      <c r="M110" s="162">
        <f t="shared" si="15"/>
        <v>0</v>
      </c>
      <c r="N110" s="335"/>
      <c r="O110" s="162">
        <f t="shared" si="16"/>
        <v>0</v>
      </c>
      <c r="P110" s="162">
        <f t="shared" si="17"/>
        <v>0</v>
      </c>
    </row>
    <row r="111" spans="1:16">
      <c r="B111" s="9" t="str">
        <f t="shared" si="9"/>
        <v/>
      </c>
      <c r="C111" s="157">
        <f>IF(D93="","-",+C110+1)</f>
        <v>2026</v>
      </c>
      <c r="D111" s="158">
        <f>IF(F110+SUM(E$99:E110)=D$92,F110,D$92-SUM(E$99:E110))</f>
        <v>1317747</v>
      </c>
      <c r="E111" s="164">
        <f t="shared" si="10"/>
        <v>37514</v>
      </c>
      <c r="F111" s="163">
        <f t="shared" si="11"/>
        <v>1280233</v>
      </c>
      <c r="G111" s="163">
        <f t="shared" si="12"/>
        <v>1298990</v>
      </c>
      <c r="H111" s="167">
        <f t="shared" si="18"/>
        <v>202294.15690444867</v>
      </c>
      <c r="I111" s="317">
        <f t="shared" si="13"/>
        <v>202294.15690444867</v>
      </c>
      <c r="J111" s="162">
        <f t="shared" si="14"/>
        <v>0</v>
      </c>
      <c r="K111" s="162"/>
      <c r="L111" s="335"/>
      <c r="M111" s="162">
        <f t="shared" si="15"/>
        <v>0</v>
      </c>
      <c r="N111" s="335"/>
      <c r="O111" s="162">
        <f t="shared" si="16"/>
        <v>0</v>
      </c>
      <c r="P111" s="162">
        <f t="shared" si="17"/>
        <v>0</v>
      </c>
    </row>
    <row r="112" spans="1:16">
      <c r="B112" s="9" t="str">
        <f t="shared" si="9"/>
        <v/>
      </c>
      <c r="C112" s="157">
        <f>IF(D93="","-",+C111+1)</f>
        <v>2027</v>
      </c>
      <c r="D112" s="158">
        <f>IF(F111+SUM(E$99:E111)=D$92,F111,D$92-SUM(E$99:E111))</f>
        <v>1280233</v>
      </c>
      <c r="E112" s="164">
        <f t="shared" si="10"/>
        <v>37514</v>
      </c>
      <c r="F112" s="163">
        <f t="shared" si="11"/>
        <v>1242719</v>
      </c>
      <c r="G112" s="163">
        <f t="shared" si="12"/>
        <v>1261476</v>
      </c>
      <c r="H112" s="167">
        <f t="shared" si="18"/>
        <v>197535.41141286405</v>
      </c>
      <c r="I112" s="317">
        <f t="shared" si="13"/>
        <v>197535.41141286405</v>
      </c>
      <c r="J112" s="162">
        <f t="shared" si="14"/>
        <v>0</v>
      </c>
      <c r="K112" s="162"/>
      <c r="L112" s="335"/>
      <c r="M112" s="162">
        <f t="shared" si="15"/>
        <v>0</v>
      </c>
      <c r="N112" s="335"/>
      <c r="O112" s="162">
        <f t="shared" si="16"/>
        <v>0</v>
      </c>
      <c r="P112" s="162">
        <f t="shared" si="17"/>
        <v>0</v>
      </c>
    </row>
    <row r="113" spans="2:16">
      <c r="B113" s="9" t="str">
        <f t="shared" si="9"/>
        <v/>
      </c>
      <c r="C113" s="157">
        <f>IF(D93="","-",+C112+1)</f>
        <v>2028</v>
      </c>
      <c r="D113" s="158">
        <f>IF(F112+SUM(E$99:E112)=D$92,F112,D$92-SUM(E$99:E112))</f>
        <v>1242719</v>
      </c>
      <c r="E113" s="164">
        <f t="shared" si="10"/>
        <v>37514</v>
      </c>
      <c r="F113" s="163">
        <f t="shared" si="11"/>
        <v>1205205</v>
      </c>
      <c r="G113" s="163">
        <f t="shared" si="12"/>
        <v>1223962</v>
      </c>
      <c r="H113" s="167">
        <f t="shared" si="18"/>
        <v>192776.66592127946</v>
      </c>
      <c r="I113" s="317">
        <f t="shared" si="13"/>
        <v>192776.66592127946</v>
      </c>
      <c r="J113" s="162">
        <f t="shared" si="14"/>
        <v>0</v>
      </c>
      <c r="K113" s="162"/>
      <c r="L113" s="335"/>
      <c r="M113" s="162">
        <f t="shared" si="15"/>
        <v>0</v>
      </c>
      <c r="N113" s="335"/>
      <c r="O113" s="162">
        <f t="shared" si="16"/>
        <v>0</v>
      </c>
      <c r="P113" s="162">
        <f t="shared" si="17"/>
        <v>0</v>
      </c>
    </row>
    <row r="114" spans="2:16">
      <c r="B114" s="9" t="str">
        <f t="shared" si="9"/>
        <v/>
      </c>
      <c r="C114" s="157">
        <f>IF(D93="","-",+C113+1)</f>
        <v>2029</v>
      </c>
      <c r="D114" s="158">
        <f>IF(F113+SUM(E$99:E113)=D$92,F113,D$92-SUM(E$99:E113))</f>
        <v>1205205</v>
      </c>
      <c r="E114" s="164">
        <f t="shared" si="10"/>
        <v>37514</v>
      </c>
      <c r="F114" s="163">
        <f t="shared" si="11"/>
        <v>1167691</v>
      </c>
      <c r="G114" s="163">
        <f t="shared" si="12"/>
        <v>1186448</v>
      </c>
      <c r="H114" s="167">
        <f t="shared" si="18"/>
        <v>188017.92042969484</v>
      </c>
      <c r="I114" s="317">
        <f t="shared" si="13"/>
        <v>188017.92042969484</v>
      </c>
      <c r="J114" s="162">
        <f t="shared" si="14"/>
        <v>0</v>
      </c>
      <c r="K114" s="162"/>
      <c r="L114" s="335"/>
      <c r="M114" s="162">
        <f t="shared" si="15"/>
        <v>0</v>
      </c>
      <c r="N114" s="335"/>
      <c r="O114" s="162">
        <f t="shared" si="16"/>
        <v>0</v>
      </c>
      <c r="P114" s="162">
        <f t="shared" si="17"/>
        <v>0</v>
      </c>
    </row>
    <row r="115" spans="2:16">
      <c r="B115" s="9" t="str">
        <f t="shared" si="9"/>
        <v/>
      </c>
      <c r="C115" s="157">
        <f>IF(D93="","-",+C114+1)</f>
        <v>2030</v>
      </c>
      <c r="D115" s="158">
        <f>IF(F114+SUM(E$99:E114)=D$92,F114,D$92-SUM(E$99:E114))</f>
        <v>1167691</v>
      </c>
      <c r="E115" s="164">
        <f t="shared" si="10"/>
        <v>37514</v>
      </c>
      <c r="F115" s="163">
        <f t="shared" si="11"/>
        <v>1130177</v>
      </c>
      <c r="G115" s="163">
        <f t="shared" si="12"/>
        <v>1148934</v>
      </c>
      <c r="H115" s="167">
        <f t="shared" si="18"/>
        <v>183259.17493811023</v>
      </c>
      <c r="I115" s="317">
        <f t="shared" si="13"/>
        <v>183259.17493811023</v>
      </c>
      <c r="J115" s="162">
        <f t="shared" si="14"/>
        <v>0</v>
      </c>
      <c r="K115" s="162"/>
      <c r="L115" s="335"/>
      <c r="M115" s="162">
        <f t="shared" si="15"/>
        <v>0</v>
      </c>
      <c r="N115" s="335"/>
      <c r="O115" s="162">
        <f t="shared" si="16"/>
        <v>0</v>
      </c>
      <c r="P115" s="162">
        <f t="shared" si="17"/>
        <v>0</v>
      </c>
    </row>
    <row r="116" spans="2:16">
      <c r="B116" s="9" t="str">
        <f t="shared" si="9"/>
        <v/>
      </c>
      <c r="C116" s="157">
        <f>IF(D93="","-",+C115+1)</f>
        <v>2031</v>
      </c>
      <c r="D116" s="158">
        <f>IF(F115+SUM(E$99:E115)=D$92,F115,D$92-SUM(E$99:E115))</f>
        <v>1130177</v>
      </c>
      <c r="E116" s="164">
        <f t="shared" si="10"/>
        <v>37514</v>
      </c>
      <c r="F116" s="163">
        <f t="shared" si="11"/>
        <v>1092663</v>
      </c>
      <c r="G116" s="163">
        <f t="shared" si="12"/>
        <v>1111420</v>
      </c>
      <c r="H116" s="167">
        <f t="shared" si="18"/>
        <v>178500.42944652564</v>
      </c>
      <c r="I116" s="317">
        <f t="shared" si="13"/>
        <v>178500.42944652564</v>
      </c>
      <c r="J116" s="162">
        <f t="shared" si="14"/>
        <v>0</v>
      </c>
      <c r="K116" s="162"/>
      <c r="L116" s="335"/>
      <c r="M116" s="162">
        <f t="shared" si="15"/>
        <v>0</v>
      </c>
      <c r="N116" s="335"/>
      <c r="O116" s="162">
        <f t="shared" si="16"/>
        <v>0</v>
      </c>
      <c r="P116" s="162">
        <f t="shared" si="17"/>
        <v>0</v>
      </c>
    </row>
    <row r="117" spans="2:16">
      <c r="B117" s="9" t="str">
        <f t="shared" si="9"/>
        <v/>
      </c>
      <c r="C117" s="157">
        <f>IF(D93="","-",+C116+1)</f>
        <v>2032</v>
      </c>
      <c r="D117" s="158">
        <f>IF(F116+SUM(E$99:E116)=D$92,F116,D$92-SUM(E$99:E116))</f>
        <v>1092663</v>
      </c>
      <c r="E117" s="164">
        <f t="shared" si="10"/>
        <v>37514</v>
      </c>
      <c r="F117" s="163">
        <f t="shared" si="11"/>
        <v>1055149</v>
      </c>
      <c r="G117" s="163">
        <f t="shared" si="12"/>
        <v>1073906</v>
      </c>
      <c r="H117" s="167">
        <f t="shared" si="18"/>
        <v>173741.68395494102</v>
      </c>
      <c r="I117" s="317">
        <f t="shared" si="13"/>
        <v>173741.68395494102</v>
      </c>
      <c r="J117" s="162">
        <f t="shared" si="14"/>
        <v>0</v>
      </c>
      <c r="K117" s="162"/>
      <c r="L117" s="335"/>
      <c r="M117" s="162">
        <f t="shared" si="15"/>
        <v>0</v>
      </c>
      <c r="N117" s="335"/>
      <c r="O117" s="162">
        <f t="shared" si="16"/>
        <v>0</v>
      </c>
      <c r="P117" s="162">
        <f t="shared" si="17"/>
        <v>0</v>
      </c>
    </row>
    <row r="118" spans="2:16">
      <c r="B118" s="9" t="str">
        <f t="shared" si="9"/>
        <v/>
      </c>
      <c r="C118" s="157">
        <f>IF(D93="","-",+C117+1)</f>
        <v>2033</v>
      </c>
      <c r="D118" s="158">
        <f>IF(F117+SUM(E$99:E117)=D$92,F117,D$92-SUM(E$99:E117))</f>
        <v>1055149</v>
      </c>
      <c r="E118" s="164">
        <f t="shared" si="10"/>
        <v>37514</v>
      </c>
      <c r="F118" s="163">
        <f t="shared" si="11"/>
        <v>1017635</v>
      </c>
      <c r="G118" s="163">
        <f t="shared" si="12"/>
        <v>1036392</v>
      </c>
      <c r="H118" s="167">
        <f t="shared" si="18"/>
        <v>168982.93846335643</v>
      </c>
      <c r="I118" s="317">
        <f t="shared" si="13"/>
        <v>168982.93846335643</v>
      </c>
      <c r="J118" s="162">
        <f t="shared" si="14"/>
        <v>0</v>
      </c>
      <c r="K118" s="162"/>
      <c r="L118" s="335"/>
      <c r="M118" s="162">
        <f t="shared" si="15"/>
        <v>0</v>
      </c>
      <c r="N118" s="335"/>
      <c r="O118" s="162">
        <f t="shared" si="16"/>
        <v>0</v>
      </c>
      <c r="P118" s="162">
        <f t="shared" si="17"/>
        <v>0</v>
      </c>
    </row>
    <row r="119" spans="2:16">
      <c r="B119" s="9" t="str">
        <f t="shared" si="9"/>
        <v/>
      </c>
      <c r="C119" s="157">
        <f>IF(D93="","-",+C118+1)</f>
        <v>2034</v>
      </c>
      <c r="D119" s="158">
        <f>IF(F118+SUM(E$99:E118)=D$92,F118,D$92-SUM(E$99:E118))</f>
        <v>1017635</v>
      </c>
      <c r="E119" s="164">
        <f t="shared" si="10"/>
        <v>37514</v>
      </c>
      <c r="F119" s="163">
        <f t="shared" si="11"/>
        <v>980121</v>
      </c>
      <c r="G119" s="163">
        <f t="shared" si="12"/>
        <v>998878</v>
      </c>
      <c r="H119" s="167">
        <f t="shared" si="18"/>
        <v>164224.19297177182</v>
      </c>
      <c r="I119" s="317">
        <f t="shared" si="13"/>
        <v>164224.19297177182</v>
      </c>
      <c r="J119" s="162">
        <f t="shared" si="14"/>
        <v>0</v>
      </c>
      <c r="K119" s="162"/>
      <c r="L119" s="335"/>
      <c r="M119" s="162">
        <f t="shared" si="15"/>
        <v>0</v>
      </c>
      <c r="N119" s="335"/>
      <c r="O119" s="162">
        <f t="shared" si="16"/>
        <v>0</v>
      </c>
      <c r="P119" s="162">
        <f t="shared" si="17"/>
        <v>0</v>
      </c>
    </row>
    <row r="120" spans="2:16">
      <c r="B120" s="9" t="str">
        <f t="shared" si="9"/>
        <v/>
      </c>
      <c r="C120" s="157">
        <f>IF(D93="","-",+C119+1)</f>
        <v>2035</v>
      </c>
      <c r="D120" s="158">
        <f>IF(F119+SUM(E$99:E119)=D$92,F119,D$92-SUM(E$99:E119))</f>
        <v>980121</v>
      </c>
      <c r="E120" s="164">
        <f t="shared" si="10"/>
        <v>37514</v>
      </c>
      <c r="F120" s="163">
        <f t="shared" si="11"/>
        <v>942607</v>
      </c>
      <c r="G120" s="163">
        <f t="shared" si="12"/>
        <v>961364</v>
      </c>
      <c r="H120" s="167">
        <f t="shared" si="18"/>
        <v>159465.44748018723</v>
      </c>
      <c r="I120" s="317">
        <f t="shared" si="13"/>
        <v>159465.44748018723</v>
      </c>
      <c r="J120" s="162">
        <f t="shared" si="14"/>
        <v>0</v>
      </c>
      <c r="K120" s="162"/>
      <c r="L120" s="335"/>
      <c r="M120" s="162">
        <f t="shared" si="15"/>
        <v>0</v>
      </c>
      <c r="N120" s="335"/>
      <c r="O120" s="162">
        <f t="shared" si="16"/>
        <v>0</v>
      </c>
      <c r="P120" s="162">
        <f t="shared" si="17"/>
        <v>0</v>
      </c>
    </row>
    <row r="121" spans="2:16">
      <c r="B121" s="9" t="str">
        <f t="shared" si="9"/>
        <v/>
      </c>
      <c r="C121" s="157">
        <f>IF(D93="","-",+C120+1)</f>
        <v>2036</v>
      </c>
      <c r="D121" s="158">
        <f>IF(F120+SUM(E$99:E120)=D$92,F120,D$92-SUM(E$99:E120))</f>
        <v>942607</v>
      </c>
      <c r="E121" s="164">
        <f t="shared" si="10"/>
        <v>37514</v>
      </c>
      <c r="F121" s="163">
        <f t="shared" si="11"/>
        <v>905093</v>
      </c>
      <c r="G121" s="163">
        <f t="shared" si="12"/>
        <v>923850</v>
      </c>
      <c r="H121" s="167">
        <f t="shared" si="18"/>
        <v>154706.70198860261</v>
      </c>
      <c r="I121" s="317">
        <f t="shared" si="13"/>
        <v>154706.70198860261</v>
      </c>
      <c r="J121" s="162">
        <f t="shared" si="14"/>
        <v>0</v>
      </c>
      <c r="K121" s="162"/>
      <c r="L121" s="335"/>
      <c r="M121" s="162">
        <f t="shared" si="15"/>
        <v>0</v>
      </c>
      <c r="N121" s="335"/>
      <c r="O121" s="162">
        <f t="shared" si="16"/>
        <v>0</v>
      </c>
      <c r="P121" s="162">
        <f t="shared" si="17"/>
        <v>0</v>
      </c>
    </row>
    <row r="122" spans="2:16">
      <c r="B122" s="9" t="str">
        <f t="shared" si="9"/>
        <v/>
      </c>
      <c r="C122" s="157">
        <f>IF(D93="","-",+C121+1)</f>
        <v>2037</v>
      </c>
      <c r="D122" s="158">
        <f>IF(F121+SUM(E$99:E121)=D$92,F121,D$92-SUM(E$99:E121))</f>
        <v>905093</v>
      </c>
      <c r="E122" s="164">
        <f t="shared" si="10"/>
        <v>37514</v>
      </c>
      <c r="F122" s="163">
        <f t="shared" si="11"/>
        <v>867579</v>
      </c>
      <c r="G122" s="163">
        <f t="shared" si="12"/>
        <v>886336</v>
      </c>
      <c r="H122" s="167">
        <f t="shared" si="18"/>
        <v>149947.95649701799</v>
      </c>
      <c r="I122" s="317">
        <f t="shared" si="13"/>
        <v>149947.95649701799</v>
      </c>
      <c r="J122" s="162">
        <f t="shared" si="14"/>
        <v>0</v>
      </c>
      <c r="K122" s="162"/>
      <c r="L122" s="335"/>
      <c r="M122" s="162">
        <f t="shared" si="15"/>
        <v>0</v>
      </c>
      <c r="N122" s="335"/>
      <c r="O122" s="162">
        <f t="shared" si="16"/>
        <v>0</v>
      </c>
      <c r="P122" s="162">
        <f t="shared" si="17"/>
        <v>0</v>
      </c>
    </row>
    <row r="123" spans="2:16">
      <c r="B123" s="9" t="str">
        <f t="shared" si="9"/>
        <v/>
      </c>
      <c r="C123" s="157">
        <f>IF(D93="","-",+C122+1)</f>
        <v>2038</v>
      </c>
      <c r="D123" s="158">
        <f>IF(F122+SUM(E$99:E122)=D$92,F122,D$92-SUM(E$99:E122))</f>
        <v>867579</v>
      </c>
      <c r="E123" s="164">
        <f t="shared" si="10"/>
        <v>37514</v>
      </c>
      <c r="F123" s="163">
        <f t="shared" si="11"/>
        <v>830065</v>
      </c>
      <c r="G123" s="163">
        <f t="shared" si="12"/>
        <v>848822</v>
      </c>
      <c r="H123" s="167">
        <f t="shared" si="18"/>
        <v>145189.2110054334</v>
      </c>
      <c r="I123" s="317">
        <f t="shared" si="13"/>
        <v>145189.2110054334</v>
      </c>
      <c r="J123" s="162">
        <f t="shared" si="14"/>
        <v>0</v>
      </c>
      <c r="K123" s="162"/>
      <c r="L123" s="335"/>
      <c r="M123" s="162">
        <f t="shared" si="15"/>
        <v>0</v>
      </c>
      <c r="N123" s="335"/>
      <c r="O123" s="162">
        <f t="shared" si="16"/>
        <v>0</v>
      </c>
      <c r="P123" s="162">
        <f t="shared" si="17"/>
        <v>0</v>
      </c>
    </row>
    <row r="124" spans="2:16">
      <c r="B124" s="9" t="str">
        <f t="shared" si="9"/>
        <v/>
      </c>
      <c r="C124" s="157">
        <f>IF(D93="","-",+C123+1)</f>
        <v>2039</v>
      </c>
      <c r="D124" s="158">
        <f>IF(F123+SUM(E$99:E123)=D$92,F123,D$92-SUM(E$99:E123))</f>
        <v>830065</v>
      </c>
      <c r="E124" s="164">
        <f t="shared" si="10"/>
        <v>37514</v>
      </c>
      <c r="F124" s="163">
        <f t="shared" si="11"/>
        <v>792551</v>
      </c>
      <c r="G124" s="163">
        <f t="shared" si="12"/>
        <v>811308</v>
      </c>
      <c r="H124" s="167">
        <f t="shared" si="18"/>
        <v>140430.46551384879</v>
      </c>
      <c r="I124" s="317">
        <f t="shared" si="13"/>
        <v>140430.46551384879</v>
      </c>
      <c r="J124" s="162">
        <f t="shared" si="14"/>
        <v>0</v>
      </c>
      <c r="K124" s="162"/>
      <c r="L124" s="335"/>
      <c r="M124" s="162">
        <f t="shared" si="15"/>
        <v>0</v>
      </c>
      <c r="N124" s="335"/>
      <c r="O124" s="162">
        <f t="shared" si="16"/>
        <v>0</v>
      </c>
      <c r="P124" s="162">
        <f t="shared" si="17"/>
        <v>0</v>
      </c>
    </row>
    <row r="125" spans="2:16">
      <c r="B125" s="9" t="str">
        <f t="shared" si="9"/>
        <v/>
      </c>
      <c r="C125" s="157">
        <f>IF(D93="","-",+C124+1)</f>
        <v>2040</v>
      </c>
      <c r="D125" s="158">
        <f>IF(F124+SUM(E$99:E124)=D$92,F124,D$92-SUM(E$99:E124))</f>
        <v>792551</v>
      </c>
      <c r="E125" s="164">
        <f t="shared" si="10"/>
        <v>37514</v>
      </c>
      <c r="F125" s="163">
        <f t="shared" si="11"/>
        <v>755037</v>
      </c>
      <c r="G125" s="163">
        <f t="shared" si="12"/>
        <v>773794</v>
      </c>
      <c r="H125" s="167">
        <f t="shared" si="18"/>
        <v>135671.72002226417</v>
      </c>
      <c r="I125" s="317">
        <f t="shared" si="13"/>
        <v>135671.72002226417</v>
      </c>
      <c r="J125" s="162">
        <f t="shared" si="14"/>
        <v>0</v>
      </c>
      <c r="K125" s="162"/>
      <c r="L125" s="335"/>
      <c r="M125" s="162">
        <f t="shared" si="15"/>
        <v>0</v>
      </c>
      <c r="N125" s="335"/>
      <c r="O125" s="162">
        <f t="shared" si="16"/>
        <v>0</v>
      </c>
      <c r="P125" s="162">
        <f t="shared" si="17"/>
        <v>0</v>
      </c>
    </row>
    <row r="126" spans="2:16">
      <c r="B126" s="9" t="str">
        <f t="shared" si="9"/>
        <v/>
      </c>
      <c r="C126" s="157">
        <f>IF(D93="","-",+C125+1)</f>
        <v>2041</v>
      </c>
      <c r="D126" s="158">
        <f>IF(F125+SUM(E$99:E125)=D$92,F125,D$92-SUM(E$99:E125))</f>
        <v>755037</v>
      </c>
      <c r="E126" s="164">
        <f t="shared" si="10"/>
        <v>37514</v>
      </c>
      <c r="F126" s="163">
        <f t="shared" si="11"/>
        <v>717523</v>
      </c>
      <c r="G126" s="163">
        <f t="shared" si="12"/>
        <v>736280</v>
      </c>
      <c r="H126" s="167">
        <f t="shared" si="18"/>
        <v>130912.97453067958</v>
      </c>
      <c r="I126" s="317">
        <f t="shared" si="13"/>
        <v>130912.97453067958</v>
      </c>
      <c r="J126" s="162">
        <f t="shared" si="14"/>
        <v>0</v>
      </c>
      <c r="K126" s="162"/>
      <c r="L126" s="335"/>
      <c r="M126" s="162">
        <f t="shared" si="15"/>
        <v>0</v>
      </c>
      <c r="N126" s="335"/>
      <c r="O126" s="162">
        <f t="shared" si="16"/>
        <v>0</v>
      </c>
      <c r="P126" s="162">
        <f t="shared" si="17"/>
        <v>0</v>
      </c>
    </row>
    <row r="127" spans="2:16">
      <c r="B127" s="9" t="str">
        <f t="shared" si="9"/>
        <v/>
      </c>
      <c r="C127" s="157">
        <f>IF(D93="","-",+C126+1)</f>
        <v>2042</v>
      </c>
      <c r="D127" s="158">
        <f>IF(F126+SUM(E$99:E126)=D$92,F126,D$92-SUM(E$99:E126))</f>
        <v>717523</v>
      </c>
      <c r="E127" s="164">
        <f t="shared" si="10"/>
        <v>37514</v>
      </c>
      <c r="F127" s="163">
        <f t="shared" si="11"/>
        <v>680009</v>
      </c>
      <c r="G127" s="163">
        <f t="shared" si="12"/>
        <v>698766</v>
      </c>
      <c r="H127" s="167">
        <f t="shared" si="18"/>
        <v>126154.22903909496</v>
      </c>
      <c r="I127" s="317">
        <f t="shared" si="13"/>
        <v>126154.22903909496</v>
      </c>
      <c r="J127" s="162">
        <f t="shared" si="14"/>
        <v>0</v>
      </c>
      <c r="K127" s="162"/>
      <c r="L127" s="335"/>
      <c r="M127" s="162">
        <f t="shared" si="15"/>
        <v>0</v>
      </c>
      <c r="N127" s="335"/>
      <c r="O127" s="162">
        <f t="shared" si="16"/>
        <v>0</v>
      </c>
      <c r="P127" s="162">
        <f t="shared" si="17"/>
        <v>0</v>
      </c>
    </row>
    <row r="128" spans="2:16">
      <c r="B128" s="9" t="str">
        <f t="shared" si="9"/>
        <v/>
      </c>
      <c r="C128" s="157">
        <f>IF(D93="","-",+C127+1)</f>
        <v>2043</v>
      </c>
      <c r="D128" s="158">
        <f>IF(F127+SUM(E$99:E127)=D$92,F127,D$92-SUM(E$99:E127))</f>
        <v>680009</v>
      </c>
      <c r="E128" s="164">
        <f t="shared" si="10"/>
        <v>37514</v>
      </c>
      <c r="F128" s="163">
        <f t="shared" si="11"/>
        <v>642495</v>
      </c>
      <c r="G128" s="163">
        <f t="shared" si="12"/>
        <v>661252</v>
      </c>
      <c r="H128" s="167">
        <f t="shared" si="18"/>
        <v>121395.48354751036</v>
      </c>
      <c r="I128" s="317">
        <f t="shared" si="13"/>
        <v>121395.48354751036</v>
      </c>
      <c r="J128" s="162">
        <f t="shared" si="14"/>
        <v>0</v>
      </c>
      <c r="K128" s="162"/>
      <c r="L128" s="335"/>
      <c r="M128" s="162">
        <f t="shared" si="15"/>
        <v>0</v>
      </c>
      <c r="N128" s="335"/>
      <c r="O128" s="162">
        <f t="shared" si="16"/>
        <v>0</v>
      </c>
      <c r="P128" s="162">
        <f t="shared" si="17"/>
        <v>0</v>
      </c>
    </row>
    <row r="129" spans="2:16">
      <c r="B129" s="9" t="str">
        <f t="shared" si="9"/>
        <v/>
      </c>
      <c r="C129" s="157">
        <f>IF(D93="","-",+C128+1)</f>
        <v>2044</v>
      </c>
      <c r="D129" s="158">
        <f>IF(F128+SUM(E$99:E128)=D$92,F128,D$92-SUM(E$99:E128))</f>
        <v>642495</v>
      </c>
      <c r="E129" s="164">
        <f t="shared" si="10"/>
        <v>37514</v>
      </c>
      <c r="F129" s="163">
        <f t="shared" si="11"/>
        <v>604981</v>
      </c>
      <c r="G129" s="163">
        <f t="shared" si="12"/>
        <v>623738</v>
      </c>
      <c r="H129" s="167">
        <f t="shared" si="18"/>
        <v>116636.73805592576</v>
      </c>
      <c r="I129" s="317">
        <f t="shared" si="13"/>
        <v>116636.73805592576</v>
      </c>
      <c r="J129" s="162">
        <f t="shared" si="14"/>
        <v>0</v>
      </c>
      <c r="K129" s="162"/>
      <c r="L129" s="335"/>
      <c r="M129" s="162">
        <f t="shared" si="15"/>
        <v>0</v>
      </c>
      <c r="N129" s="335"/>
      <c r="O129" s="162">
        <f t="shared" si="16"/>
        <v>0</v>
      </c>
      <c r="P129" s="162">
        <f t="shared" si="17"/>
        <v>0</v>
      </c>
    </row>
    <row r="130" spans="2:16">
      <c r="B130" s="9" t="str">
        <f t="shared" si="9"/>
        <v/>
      </c>
      <c r="C130" s="157">
        <f>IF(D93="","-",+C129+1)</f>
        <v>2045</v>
      </c>
      <c r="D130" s="158">
        <f>IF(F129+SUM(E$99:E129)=D$92,F129,D$92-SUM(E$99:E129))</f>
        <v>604981</v>
      </c>
      <c r="E130" s="164">
        <f t="shared" si="10"/>
        <v>37514</v>
      </c>
      <c r="F130" s="163">
        <f t="shared" si="11"/>
        <v>567467</v>
      </c>
      <c r="G130" s="163">
        <f t="shared" si="12"/>
        <v>586224</v>
      </c>
      <c r="H130" s="167">
        <f t="shared" si="18"/>
        <v>111877.99256434116</v>
      </c>
      <c r="I130" s="317">
        <f t="shared" si="13"/>
        <v>111877.99256434116</v>
      </c>
      <c r="J130" s="162">
        <f t="shared" si="14"/>
        <v>0</v>
      </c>
      <c r="K130" s="162"/>
      <c r="L130" s="335"/>
      <c r="M130" s="162">
        <f t="shared" si="15"/>
        <v>0</v>
      </c>
      <c r="N130" s="335"/>
      <c r="O130" s="162">
        <f t="shared" si="16"/>
        <v>0</v>
      </c>
      <c r="P130" s="162">
        <f t="shared" si="17"/>
        <v>0</v>
      </c>
    </row>
    <row r="131" spans="2:16">
      <c r="B131" s="9" t="str">
        <f t="shared" si="9"/>
        <v/>
      </c>
      <c r="C131" s="157">
        <f>IF(D93="","-",+C130+1)</f>
        <v>2046</v>
      </c>
      <c r="D131" s="158">
        <f>IF(F130+SUM(E$99:E130)=D$92,F130,D$92-SUM(E$99:E130))</f>
        <v>567467</v>
      </c>
      <c r="E131" s="164">
        <f t="shared" si="10"/>
        <v>37514</v>
      </c>
      <c r="F131" s="163">
        <f t="shared" si="11"/>
        <v>529953</v>
      </c>
      <c r="G131" s="163">
        <f t="shared" si="12"/>
        <v>548710</v>
      </c>
      <c r="H131" s="167">
        <f t="shared" si="18"/>
        <v>107119.24707275655</v>
      </c>
      <c r="I131" s="317">
        <f t="shared" si="13"/>
        <v>107119.24707275655</v>
      </c>
      <c r="J131" s="162">
        <f t="shared" si="14"/>
        <v>0</v>
      </c>
      <c r="K131" s="162"/>
      <c r="L131" s="335"/>
      <c r="M131" s="162">
        <f t="shared" ref="M131:M154" si="19">IF(L541&lt;&gt;0,+H541-L541,0)</f>
        <v>0</v>
      </c>
      <c r="N131" s="335"/>
      <c r="O131" s="162">
        <f t="shared" ref="O131:O154" si="20">IF(N541&lt;&gt;0,+I541-N541,0)</f>
        <v>0</v>
      </c>
      <c r="P131" s="162">
        <f t="shared" ref="P131:P154" si="21">+O541-M541</f>
        <v>0</v>
      </c>
    </row>
    <row r="132" spans="2:16">
      <c r="B132" s="9" t="str">
        <f t="shared" si="9"/>
        <v/>
      </c>
      <c r="C132" s="157">
        <f>IF(D93="","-",+C131+1)</f>
        <v>2047</v>
      </c>
      <c r="D132" s="158">
        <f>IF(F131+SUM(E$99:E131)=D$92,F131,D$92-SUM(E$99:E131))</f>
        <v>529953</v>
      </c>
      <c r="E132" s="164">
        <f t="shared" si="10"/>
        <v>37514</v>
      </c>
      <c r="F132" s="163">
        <f t="shared" si="11"/>
        <v>492439</v>
      </c>
      <c r="G132" s="163">
        <f t="shared" si="12"/>
        <v>511196</v>
      </c>
      <c r="H132" s="167">
        <f t="shared" si="18"/>
        <v>102360.50158117193</v>
      </c>
      <c r="I132" s="317">
        <f t="shared" si="13"/>
        <v>102360.50158117193</v>
      </c>
      <c r="J132" s="162">
        <f t="shared" si="14"/>
        <v>0</v>
      </c>
      <c r="K132" s="162"/>
      <c r="L132" s="335"/>
      <c r="M132" s="162">
        <f t="shared" si="19"/>
        <v>0</v>
      </c>
      <c r="N132" s="335"/>
      <c r="O132" s="162">
        <f t="shared" si="20"/>
        <v>0</v>
      </c>
      <c r="P132" s="162">
        <f t="shared" si="21"/>
        <v>0</v>
      </c>
    </row>
    <row r="133" spans="2:16">
      <c r="B133" s="9" t="str">
        <f t="shared" si="9"/>
        <v/>
      </c>
      <c r="C133" s="157">
        <f>IF(D93="","-",+C132+1)</f>
        <v>2048</v>
      </c>
      <c r="D133" s="158">
        <f>IF(F132+SUM(E$99:E132)=D$92,F132,D$92-SUM(E$99:E132))</f>
        <v>492439</v>
      </c>
      <c r="E133" s="164">
        <f t="shared" si="10"/>
        <v>37514</v>
      </c>
      <c r="F133" s="163">
        <f t="shared" si="11"/>
        <v>454925</v>
      </c>
      <c r="G133" s="163">
        <f t="shared" si="12"/>
        <v>473682</v>
      </c>
      <c r="H133" s="167">
        <f t="shared" si="18"/>
        <v>97601.756089587332</v>
      </c>
      <c r="I133" s="317">
        <f t="shared" si="13"/>
        <v>97601.756089587332</v>
      </c>
      <c r="J133" s="162">
        <f t="shared" si="14"/>
        <v>0</v>
      </c>
      <c r="K133" s="162"/>
      <c r="L133" s="335"/>
      <c r="M133" s="162">
        <f t="shared" si="19"/>
        <v>0</v>
      </c>
      <c r="N133" s="335"/>
      <c r="O133" s="162">
        <f t="shared" si="20"/>
        <v>0</v>
      </c>
      <c r="P133" s="162">
        <f t="shared" si="21"/>
        <v>0</v>
      </c>
    </row>
    <row r="134" spans="2:16">
      <c r="B134" s="9" t="str">
        <f t="shared" si="9"/>
        <v/>
      </c>
      <c r="C134" s="157">
        <f>IF(D93="","-",+C133+1)</f>
        <v>2049</v>
      </c>
      <c r="D134" s="158">
        <f>IF(F133+SUM(E$99:E133)=D$92,F133,D$92-SUM(E$99:E133))</f>
        <v>454925</v>
      </c>
      <c r="E134" s="164">
        <f t="shared" si="10"/>
        <v>37514</v>
      </c>
      <c r="F134" s="163">
        <f t="shared" si="11"/>
        <v>417411</v>
      </c>
      <c r="G134" s="163">
        <f t="shared" si="12"/>
        <v>436168</v>
      </c>
      <c r="H134" s="167">
        <f t="shared" si="18"/>
        <v>92843.010598002729</v>
      </c>
      <c r="I134" s="317">
        <f t="shared" si="13"/>
        <v>92843.010598002729</v>
      </c>
      <c r="J134" s="162">
        <f t="shared" si="14"/>
        <v>0</v>
      </c>
      <c r="K134" s="162"/>
      <c r="L134" s="335"/>
      <c r="M134" s="162">
        <f t="shared" si="19"/>
        <v>0</v>
      </c>
      <c r="N134" s="335"/>
      <c r="O134" s="162">
        <f t="shared" si="20"/>
        <v>0</v>
      </c>
      <c r="P134" s="162">
        <f t="shared" si="21"/>
        <v>0</v>
      </c>
    </row>
    <row r="135" spans="2:16">
      <c r="B135" s="9" t="str">
        <f t="shared" si="9"/>
        <v/>
      </c>
      <c r="C135" s="157">
        <f>IF(D93="","-",+C134+1)</f>
        <v>2050</v>
      </c>
      <c r="D135" s="158">
        <f>IF(F134+SUM(E$99:E134)=D$92,F134,D$92-SUM(E$99:E134))</f>
        <v>417411</v>
      </c>
      <c r="E135" s="164">
        <f t="shared" si="10"/>
        <v>37514</v>
      </c>
      <c r="F135" s="163">
        <f t="shared" si="11"/>
        <v>379897</v>
      </c>
      <c r="G135" s="163">
        <f t="shared" si="12"/>
        <v>398654</v>
      </c>
      <c r="H135" s="167">
        <f t="shared" si="18"/>
        <v>88084.265106418112</v>
      </c>
      <c r="I135" s="317">
        <f t="shared" si="13"/>
        <v>88084.265106418112</v>
      </c>
      <c r="J135" s="162">
        <f t="shared" si="14"/>
        <v>0</v>
      </c>
      <c r="K135" s="162"/>
      <c r="L135" s="335"/>
      <c r="M135" s="162">
        <f t="shared" si="19"/>
        <v>0</v>
      </c>
      <c r="N135" s="335"/>
      <c r="O135" s="162">
        <f t="shared" si="20"/>
        <v>0</v>
      </c>
      <c r="P135" s="162">
        <f t="shared" si="21"/>
        <v>0</v>
      </c>
    </row>
    <row r="136" spans="2:16">
      <c r="B136" s="9" t="str">
        <f t="shared" si="9"/>
        <v/>
      </c>
      <c r="C136" s="157">
        <f>IF(D93="","-",+C135+1)</f>
        <v>2051</v>
      </c>
      <c r="D136" s="158">
        <f>IF(F135+SUM(E$99:E135)=D$92,F135,D$92-SUM(E$99:E135))</f>
        <v>379897</v>
      </c>
      <c r="E136" s="164">
        <f t="shared" si="10"/>
        <v>37514</v>
      </c>
      <c r="F136" s="163">
        <f t="shared" si="11"/>
        <v>342383</v>
      </c>
      <c r="G136" s="163">
        <f t="shared" si="12"/>
        <v>361140</v>
      </c>
      <c r="H136" s="167">
        <f t="shared" si="18"/>
        <v>83325.519614833524</v>
      </c>
      <c r="I136" s="317">
        <f t="shared" si="13"/>
        <v>83325.519614833524</v>
      </c>
      <c r="J136" s="162">
        <f t="shared" si="14"/>
        <v>0</v>
      </c>
      <c r="K136" s="162"/>
      <c r="L136" s="335"/>
      <c r="M136" s="162">
        <f t="shared" si="19"/>
        <v>0</v>
      </c>
      <c r="N136" s="335"/>
      <c r="O136" s="162">
        <f t="shared" si="20"/>
        <v>0</v>
      </c>
      <c r="P136" s="162">
        <f t="shared" si="21"/>
        <v>0</v>
      </c>
    </row>
    <row r="137" spans="2:16">
      <c r="B137" s="9" t="str">
        <f t="shared" si="9"/>
        <v/>
      </c>
      <c r="C137" s="157">
        <f>IF(D93="","-",+C136+1)</f>
        <v>2052</v>
      </c>
      <c r="D137" s="158">
        <f>IF(F136+SUM(E$99:E136)=D$92,F136,D$92-SUM(E$99:E136))</f>
        <v>342383</v>
      </c>
      <c r="E137" s="164">
        <f t="shared" si="10"/>
        <v>37514</v>
      </c>
      <c r="F137" s="163">
        <f t="shared" si="11"/>
        <v>304869</v>
      </c>
      <c r="G137" s="163">
        <f t="shared" si="12"/>
        <v>323626</v>
      </c>
      <c r="H137" s="167">
        <f t="shared" si="18"/>
        <v>78566.774123248906</v>
      </c>
      <c r="I137" s="317">
        <f t="shared" si="13"/>
        <v>78566.774123248906</v>
      </c>
      <c r="J137" s="162">
        <f t="shared" si="14"/>
        <v>0</v>
      </c>
      <c r="K137" s="162"/>
      <c r="L137" s="335"/>
      <c r="M137" s="162">
        <f t="shared" si="19"/>
        <v>0</v>
      </c>
      <c r="N137" s="335"/>
      <c r="O137" s="162">
        <f t="shared" si="20"/>
        <v>0</v>
      </c>
      <c r="P137" s="162">
        <f t="shared" si="21"/>
        <v>0</v>
      </c>
    </row>
    <row r="138" spans="2:16">
      <c r="B138" s="9" t="str">
        <f t="shared" si="9"/>
        <v/>
      </c>
      <c r="C138" s="157">
        <f>IF(D93="","-",+C137+1)</f>
        <v>2053</v>
      </c>
      <c r="D138" s="158">
        <f>IF(F137+SUM(E$99:E137)=D$92,F137,D$92-SUM(E$99:E137))</f>
        <v>304869</v>
      </c>
      <c r="E138" s="164">
        <f t="shared" si="10"/>
        <v>37514</v>
      </c>
      <c r="F138" s="163">
        <f t="shared" si="11"/>
        <v>267355</v>
      </c>
      <c r="G138" s="163">
        <f t="shared" si="12"/>
        <v>286112</v>
      </c>
      <c r="H138" s="167">
        <f t="shared" si="18"/>
        <v>73808.028631664303</v>
      </c>
      <c r="I138" s="317">
        <f t="shared" si="13"/>
        <v>73808.028631664303</v>
      </c>
      <c r="J138" s="162">
        <f t="shared" si="14"/>
        <v>0</v>
      </c>
      <c r="K138" s="162"/>
      <c r="L138" s="335"/>
      <c r="M138" s="162">
        <f t="shared" si="19"/>
        <v>0</v>
      </c>
      <c r="N138" s="335"/>
      <c r="O138" s="162">
        <f t="shared" si="20"/>
        <v>0</v>
      </c>
      <c r="P138" s="162">
        <f t="shared" si="21"/>
        <v>0</v>
      </c>
    </row>
    <row r="139" spans="2:16">
      <c r="B139" s="9" t="str">
        <f t="shared" si="9"/>
        <v/>
      </c>
      <c r="C139" s="157">
        <f>IF(D93="","-",+C138+1)</f>
        <v>2054</v>
      </c>
      <c r="D139" s="158">
        <f>IF(F138+SUM(E$99:E138)=D$92,F138,D$92-SUM(E$99:E138))</f>
        <v>267355</v>
      </c>
      <c r="E139" s="164">
        <f t="shared" si="10"/>
        <v>37514</v>
      </c>
      <c r="F139" s="163">
        <f t="shared" si="11"/>
        <v>229841</v>
      </c>
      <c r="G139" s="163">
        <f t="shared" si="12"/>
        <v>248598</v>
      </c>
      <c r="H139" s="167">
        <f t="shared" si="18"/>
        <v>69049.2831400797</v>
      </c>
      <c r="I139" s="317">
        <f t="shared" si="13"/>
        <v>69049.2831400797</v>
      </c>
      <c r="J139" s="162">
        <f t="shared" si="14"/>
        <v>0</v>
      </c>
      <c r="K139" s="162"/>
      <c r="L139" s="335"/>
      <c r="M139" s="162">
        <f t="shared" si="19"/>
        <v>0</v>
      </c>
      <c r="N139" s="335"/>
      <c r="O139" s="162">
        <f t="shared" si="20"/>
        <v>0</v>
      </c>
      <c r="P139" s="162">
        <f t="shared" si="21"/>
        <v>0</v>
      </c>
    </row>
    <row r="140" spans="2:16">
      <c r="B140" s="9" t="str">
        <f t="shared" si="9"/>
        <v/>
      </c>
      <c r="C140" s="157">
        <f>IF(D93="","-",+C139+1)</f>
        <v>2055</v>
      </c>
      <c r="D140" s="158">
        <f>IF(F139+SUM(E$99:E139)=D$92,F139,D$92-SUM(E$99:E139))</f>
        <v>229841</v>
      </c>
      <c r="E140" s="164">
        <f t="shared" si="10"/>
        <v>37514</v>
      </c>
      <c r="F140" s="163">
        <f t="shared" si="11"/>
        <v>192327</v>
      </c>
      <c r="G140" s="163">
        <f t="shared" si="12"/>
        <v>211084</v>
      </c>
      <c r="H140" s="167">
        <f t="shared" si="18"/>
        <v>64290.537648495098</v>
      </c>
      <c r="I140" s="317">
        <f t="shared" si="13"/>
        <v>64290.537648495098</v>
      </c>
      <c r="J140" s="162">
        <f t="shared" si="14"/>
        <v>0</v>
      </c>
      <c r="K140" s="162"/>
      <c r="L140" s="335"/>
      <c r="M140" s="162">
        <f t="shared" si="19"/>
        <v>0</v>
      </c>
      <c r="N140" s="335"/>
      <c r="O140" s="162">
        <f t="shared" si="20"/>
        <v>0</v>
      </c>
      <c r="P140" s="162">
        <f t="shared" si="21"/>
        <v>0</v>
      </c>
    </row>
    <row r="141" spans="2:16">
      <c r="B141" s="9" t="str">
        <f t="shared" si="9"/>
        <v/>
      </c>
      <c r="C141" s="157">
        <f>IF(D93="","-",+C140+1)</f>
        <v>2056</v>
      </c>
      <c r="D141" s="158">
        <f>IF(F140+SUM(E$99:E140)=D$92,F140,D$92-SUM(E$99:E140))</f>
        <v>192327</v>
      </c>
      <c r="E141" s="164">
        <f t="shared" si="10"/>
        <v>37514</v>
      </c>
      <c r="F141" s="163">
        <f t="shared" si="11"/>
        <v>154813</v>
      </c>
      <c r="G141" s="163">
        <f t="shared" si="12"/>
        <v>173570</v>
      </c>
      <c r="H141" s="167">
        <f t="shared" si="18"/>
        <v>59531.792156910487</v>
      </c>
      <c r="I141" s="317">
        <f t="shared" si="13"/>
        <v>59531.792156910487</v>
      </c>
      <c r="J141" s="162">
        <f t="shared" si="14"/>
        <v>0</v>
      </c>
      <c r="K141" s="162"/>
      <c r="L141" s="335"/>
      <c r="M141" s="162">
        <f t="shared" si="19"/>
        <v>0</v>
      </c>
      <c r="N141" s="335"/>
      <c r="O141" s="162">
        <f t="shared" si="20"/>
        <v>0</v>
      </c>
      <c r="P141" s="162">
        <f t="shared" si="21"/>
        <v>0</v>
      </c>
    </row>
    <row r="142" spans="2:16">
      <c r="B142" s="9" t="str">
        <f t="shared" si="9"/>
        <v/>
      </c>
      <c r="C142" s="157">
        <f>IF(D93="","-",+C141+1)</f>
        <v>2057</v>
      </c>
      <c r="D142" s="158">
        <f>IF(F141+SUM(E$99:E141)=D$92,F141,D$92-SUM(E$99:E141))</f>
        <v>154813</v>
      </c>
      <c r="E142" s="164">
        <f t="shared" si="10"/>
        <v>37514</v>
      </c>
      <c r="F142" s="163">
        <f t="shared" si="11"/>
        <v>117299</v>
      </c>
      <c r="G142" s="163">
        <f t="shared" si="12"/>
        <v>136056</v>
      </c>
      <c r="H142" s="167">
        <f t="shared" si="18"/>
        <v>54773.046665325877</v>
      </c>
      <c r="I142" s="317">
        <f t="shared" si="13"/>
        <v>54773.046665325877</v>
      </c>
      <c r="J142" s="162">
        <f t="shared" si="14"/>
        <v>0</v>
      </c>
      <c r="K142" s="162"/>
      <c r="L142" s="335"/>
      <c r="M142" s="162">
        <f t="shared" si="19"/>
        <v>0</v>
      </c>
      <c r="N142" s="335"/>
      <c r="O142" s="162">
        <f t="shared" si="20"/>
        <v>0</v>
      </c>
      <c r="P142" s="162">
        <f t="shared" si="21"/>
        <v>0</v>
      </c>
    </row>
    <row r="143" spans="2:16">
      <c r="B143" s="9" t="str">
        <f t="shared" si="9"/>
        <v/>
      </c>
      <c r="C143" s="157">
        <f>IF(D93="","-",+C142+1)</f>
        <v>2058</v>
      </c>
      <c r="D143" s="158">
        <f>IF(F142+SUM(E$99:E142)=D$92,F142,D$92-SUM(E$99:E142))</f>
        <v>117299</v>
      </c>
      <c r="E143" s="164">
        <f t="shared" si="10"/>
        <v>37514</v>
      </c>
      <c r="F143" s="163">
        <f t="shared" si="11"/>
        <v>79785</v>
      </c>
      <c r="G143" s="163">
        <f t="shared" si="12"/>
        <v>98542</v>
      </c>
      <c r="H143" s="167">
        <f t="shared" si="18"/>
        <v>50014.301173741274</v>
      </c>
      <c r="I143" s="317">
        <f t="shared" si="13"/>
        <v>50014.301173741274</v>
      </c>
      <c r="J143" s="162">
        <f t="shared" si="14"/>
        <v>0</v>
      </c>
      <c r="K143" s="162"/>
      <c r="L143" s="335"/>
      <c r="M143" s="162">
        <f t="shared" si="19"/>
        <v>0</v>
      </c>
      <c r="N143" s="335"/>
      <c r="O143" s="162">
        <f t="shared" si="20"/>
        <v>0</v>
      </c>
      <c r="P143" s="162">
        <f t="shared" si="21"/>
        <v>0</v>
      </c>
    </row>
    <row r="144" spans="2:16">
      <c r="B144" s="9" t="str">
        <f t="shared" si="9"/>
        <v/>
      </c>
      <c r="C144" s="157">
        <f>IF(D93="","-",+C143+1)</f>
        <v>2059</v>
      </c>
      <c r="D144" s="158">
        <f>IF(F143+SUM(E$99:E143)=D$92,F143,D$92-SUM(E$99:E143))</f>
        <v>79785</v>
      </c>
      <c r="E144" s="164">
        <f t="shared" si="10"/>
        <v>37514</v>
      </c>
      <c r="F144" s="163">
        <f t="shared" si="11"/>
        <v>42271</v>
      </c>
      <c r="G144" s="163">
        <f t="shared" si="12"/>
        <v>61028</v>
      </c>
      <c r="H144" s="167">
        <f t="shared" si="18"/>
        <v>45255.555682156672</v>
      </c>
      <c r="I144" s="317">
        <f t="shared" si="13"/>
        <v>45255.555682156672</v>
      </c>
      <c r="J144" s="162">
        <f t="shared" si="14"/>
        <v>0</v>
      </c>
      <c r="K144" s="162"/>
      <c r="L144" s="335"/>
      <c r="M144" s="162">
        <f t="shared" si="19"/>
        <v>0</v>
      </c>
      <c r="N144" s="335"/>
      <c r="O144" s="162">
        <f t="shared" si="20"/>
        <v>0</v>
      </c>
      <c r="P144" s="162">
        <f t="shared" si="21"/>
        <v>0</v>
      </c>
    </row>
    <row r="145" spans="2:16">
      <c r="B145" s="9" t="str">
        <f t="shared" si="9"/>
        <v/>
      </c>
      <c r="C145" s="157">
        <f>IF(D93="","-",+C144+1)</f>
        <v>2060</v>
      </c>
      <c r="D145" s="158">
        <f>IF(F144+SUM(E$99:E144)=D$92,F144,D$92-SUM(E$99:E144))</f>
        <v>42271</v>
      </c>
      <c r="E145" s="164">
        <f t="shared" si="10"/>
        <v>37514</v>
      </c>
      <c r="F145" s="163">
        <f t="shared" si="11"/>
        <v>4757</v>
      </c>
      <c r="G145" s="163">
        <f t="shared" si="12"/>
        <v>23514</v>
      </c>
      <c r="H145" s="167">
        <f t="shared" si="18"/>
        <v>40496.810190572061</v>
      </c>
      <c r="I145" s="317">
        <f t="shared" si="13"/>
        <v>40496.810190572061</v>
      </c>
      <c r="J145" s="162">
        <f t="shared" si="14"/>
        <v>0</v>
      </c>
      <c r="K145" s="162"/>
      <c r="L145" s="335"/>
      <c r="M145" s="162">
        <f t="shared" si="19"/>
        <v>0</v>
      </c>
      <c r="N145" s="335"/>
      <c r="O145" s="162">
        <f t="shared" si="20"/>
        <v>0</v>
      </c>
      <c r="P145" s="162">
        <f t="shared" si="21"/>
        <v>0</v>
      </c>
    </row>
    <row r="146" spans="2:16">
      <c r="B146" s="9" t="str">
        <f t="shared" si="9"/>
        <v/>
      </c>
      <c r="C146" s="157">
        <f>IF(D93="","-",+C145+1)</f>
        <v>2061</v>
      </c>
      <c r="D146" s="158">
        <f>IF(F145+SUM(E$99:E145)=D$92,F145,D$92-SUM(E$99:E145))</f>
        <v>4757</v>
      </c>
      <c r="E146" s="164">
        <f t="shared" si="10"/>
        <v>4757</v>
      </c>
      <c r="F146" s="163">
        <f t="shared" si="11"/>
        <v>0</v>
      </c>
      <c r="G146" s="163">
        <f t="shared" si="12"/>
        <v>2378.5</v>
      </c>
      <c r="H146" s="167">
        <f t="shared" si="18"/>
        <v>5058.7187223898809</v>
      </c>
      <c r="I146" s="317">
        <f t="shared" si="13"/>
        <v>5058.7187223898809</v>
      </c>
      <c r="J146" s="162">
        <f t="shared" si="14"/>
        <v>0</v>
      </c>
      <c r="K146" s="162"/>
      <c r="L146" s="335"/>
      <c r="M146" s="162">
        <f t="shared" si="19"/>
        <v>0</v>
      </c>
      <c r="N146" s="335"/>
      <c r="O146" s="162">
        <f t="shared" si="20"/>
        <v>0</v>
      </c>
      <c r="P146" s="162">
        <f t="shared" si="21"/>
        <v>0</v>
      </c>
    </row>
    <row r="147" spans="2:16">
      <c r="B147" s="9" t="str">
        <f t="shared" si="9"/>
        <v/>
      </c>
      <c r="C147" s="157">
        <f>IF(D93="","-",+C146+1)</f>
        <v>2062</v>
      </c>
      <c r="D147" s="158">
        <f>IF(F146+SUM(E$99:E146)=D$92,F146,D$92-SUM(E$99:E146))</f>
        <v>0</v>
      </c>
      <c r="E147" s="164">
        <f t="shared" si="10"/>
        <v>0</v>
      </c>
      <c r="F147" s="163">
        <f t="shared" si="11"/>
        <v>0</v>
      </c>
      <c r="G147" s="163">
        <f t="shared" si="12"/>
        <v>0</v>
      </c>
      <c r="H147" s="167">
        <f t="shared" si="18"/>
        <v>0</v>
      </c>
      <c r="I147" s="317">
        <f t="shared" si="13"/>
        <v>0</v>
      </c>
      <c r="J147" s="162">
        <f t="shared" si="14"/>
        <v>0</v>
      </c>
      <c r="K147" s="162"/>
      <c r="L147" s="335"/>
      <c r="M147" s="162">
        <f t="shared" si="19"/>
        <v>0</v>
      </c>
      <c r="N147" s="335"/>
      <c r="O147" s="162">
        <f t="shared" si="20"/>
        <v>0</v>
      </c>
      <c r="P147" s="162">
        <f t="shared" si="21"/>
        <v>0</v>
      </c>
    </row>
    <row r="148" spans="2:16">
      <c r="B148" s="9" t="str">
        <f t="shared" si="9"/>
        <v/>
      </c>
      <c r="C148" s="157">
        <f>IF(D93="","-",+C147+1)</f>
        <v>2063</v>
      </c>
      <c r="D148" s="158">
        <f>IF(F147+SUM(E$99:E147)=D$92,F147,D$92-SUM(E$99:E147))</f>
        <v>0</v>
      </c>
      <c r="E148" s="164">
        <f t="shared" si="10"/>
        <v>0</v>
      </c>
      <c r="F148" s="163">
        <f t="shared" si="11"/>
        <v>0</v>
      </c>
      <c r="G148" s="163">
        <f t="shared" si="12"/>
        <v>0</v>
      </c>
      <c r="H148" s="167">
        <f t="shared" si="18"/>
        <v>0</v>
      </c>
      <c r="I148" s="317">
        <f t="shared" si="13"/>
        <v>0</v>
      </c>
      <c r="J148" s="162">
        <f t="shared" si="14"/>
        <v>0</v>
      </c>
      <c r="K148" s="162"/>
      <c r="L148" s="335"/>
      <c r="M148" s="162">
        <f t="shared" si="19"/>
        <v>0</v>
      </c>
      <c r="N148" s="335"/>
      <c r="O148" s="162">
        <f t="shared" si="20"/>
        <v>0</v>
      </c>
      <c r="P148" s="162">
        <f t="shared" si="21"/>
        <v>0</v>
      </c>
    </row>
    <row r="149" spans="2:16">
      <c r="B149" s="9" t="str">
        <f t="shared" si="9"/>
        <v/>
      </c>
      <c r="C149" s="157">
        <f>IF(D93="","-",+C148+1)</f>
        <v>2064</v>
      </c>
      <c r="D149" s="158">
        <f>IF(F148+SUM(E$99:E148)=D$92,F148,D$92-SUM(E$99:E148))</f>
        <v>0</v>
      </c>
      <c r="E149" s="164">
        <f t="shared" si="10"/>
        <v>0</v>
      </c>
      <c r="F149" s="163">
        <f t="shared" si="11"/>
        <v>0</v>
      </c>
      <c r="G149" s="163">
        <f t="shared" si="12"/>
        <v>0</v>
      </c>
      <c r="H149" s="167">
        <f t="shared" si="18"/>
        <v>0</v>
      </c>
      <c r="I149" s="317">
        <f t="shared" si="13"/>
        <v>0</v>
      </c>
      <c r="J149" s="162">
        <f t="shared" si="14"/>
        <v>0</v>
      </c>
      <c r="K149" s="162"/>
      <c r="L149" s="335"/>
      <c r="M149" s="162">
        <f t="shared" si="19"/>
        <v>0</v>
      </c>
      <c r="N149" s="335"/>
      <c r="O149" s="162">
        <f t="shared" si="20"/>
        <v>0</v>
      </c>
      <c r="P149" s="162">
        <f t="shared" si="21"/>
        <v>0</v>
      </c>
    </row>
    <row r="150" spans="2:16">
      <c r="B150" s="9" t="str">
        <f t="shared" si="9"/>
        <v/>
      </c>
      <c r="C150" s="157">
        <f>IF(D93="","-",+C149+1)</f>
        <v>2065</v>
      </c>
      <c r="D150" s="158">
        <f>IF(F149+SUM(E$99:E149)=D$92,F149,D$92-SUM(E$99:E149))</f>
        <v>0</v>
      </c>
      <c r="E150" s="164">
        <f t="shared" si="10"/>
        <v>0</v>
      </c>
      <c r="F150" s="163">
        <f t="shared" si="11"/>
        <v>0</v>
      </c>
      <c r="G150" s="163">
        <f t="shared" si="12"/>
        <v>0</v>
      </c>
      <c r="H150" s="167">
        <f t="shared" si="18"/>
        <v>0</v>
      </c>
      <c r="I150" s="317">
        <f t="shared" si="13"/>
        <v>0</v>
      </c>
      <c r="J150" s="162">
        <f t="shared" si="14"/>
        <v>0</v>
      </c>
      <c r="K150" s="162"/>
      <c r="L150" s="335"/>
      <c r="M150" s="162">
        <f t="shared" si="19"/>
        <v>0</v>
      </c>
      <c r="N150" s="335"/>
      <c r="O150" s="162">
        <f t="shared" si="20"/>
        <v>0</v>
      </c>
      <c r="P150" s="162">
        <f t="shared" si="21"/>
        <v>0</v>
      </c>
    </row>
    <row r="151" spans="2:16">
      <c r="B151" s="9" t="str">
        <f t="shared" si="9"/>
        <v/>
      </c>
      <c r="C151" s="157">
        <f>IF(D93="","-",+C150+1)</f>
        <v>2066</v>
      </c>
      <c r="D151" s="158">
        <f>IF(F150+SUM(E$99:E150)=D$92,F150,D$92-SUM(E$99:E150))</f>
        <v>0</v>
      </c>
      <c r="E151" s="164">
        <f t="shared" si="10"/>
        <v>0</v>
      </c>
      <c r="F151" s="163">
        <f t="shared" si="11"/>
        <v>0</v>
      </c>
      <c r="G151" s="163">
        <f t="shared" si="12"/>
        <v>0</v>
      </c>
      <c r="H151" s="167">
        <f t="shared" si="18"/>
        <v>0</v>
      </c>
      <c r="I151" s="317">
        <f t="shared" si="13"/>
        <v>0</v>
      </c>
      <c r="J151" s="162">
        <f t="shared" si="14"/>
        <v>0</v>
      </c>
      <c r="K151" s="162"/>
      <c r="L151" s="335"/>
      <c r="M151" s="162">
        <f t="shared" si="19"/>
        <v>0</v>
      </c>
      <c r="N151" s="335"/>
      <c r="O151" s="162">
        <f t="shared" si="20"/>
        <v>0</v>
      </c>
      <c r="P151" s="162">
        <f t="shared" si="21"/>
        <v>0</v>
      </c>
    </row>
    <row r="152" spans="2:16">
      <c r="B152" s="9" t="str">
        <f t="shared" si="9"/>
        <v/>
      </c>
      <c r="C152" s="157">
        <f>IF(D93="","-",+C151+1)</f>
        <v>2067</v>
      </c>
      <c r="D152" s="158">
        <f>IF(F151+SUM(E$99:E151)=D$92,F151,D$92-SUM(E$99:E151))</f>
        <v>0</v>
      </c>
      <c r="E152" s="164">
        <f t="shared" si="10"/>
        <v>0</v>
      </c>
      <c r="F152" s="163">
        <f t="shared" si="11"/>
        <v>0</v>
      </c>
      <c r="G152" s="163">
        <f t="shared" si="12"/>
        <v>0</v>
      </c>
      <c r="H152" s="167">
        <f t="shared" si="18"/>
        <v>0</v>
      </c>
      <c r="I152" s="317">
        <f t="shared" si="13"/>
        <v>0</v>
      </c>
      <c r="J152" s="162">
        <f t="shared" si="14"/>
        <v>0</v>
      </c>
      <c r="K152" s="162"/>
      <c r="L152" s="335"/>
      <c r="M152" s="162">
        <f t="shared" si="19"/>
        <v>0</v>
      </c>
      <c r="N152" s="335"/>
      <c r="O152" s="162">
        <f t="shared" si="20"/>
        <v>0</v>
      </c>
      <c r="P152" s="162">
        <f t="shared" si="21"/>
        <v>0</v>
      </c>
    </row>
    <row r="153" spans="2:16">
      <c r="B153" s="9" t="str">
        <f t="shared" si="9"/>
        <v/>
      </c>
      <c r="C153" s="157">
        <f>IF(D93="","-",+C152+1)</f>
        <v>2068</v>
      </c>
      <c r="D153" s="158">
        <f>IF(F152+SUM(E$99:E152)=D$92,F152,D$92-SUM(E$99:E152))</f>
        <v>0</v>
      </c>
      <c r="E153" s="164">
        <f t="shared" si="10"/>
        <v>0</v>
      </c>
      <c r="F153" s="163">
        <f t="shared" si="11"/>
        <v>0</v>
      </c>
      <c r="G153" s="163">
        <f t="shared" si="12"/>
        <v>0</v>
      </c>
      <c r="H153" s="167">
        <f t="shared" si="18"/>
        <v>0</v>
      </c>
      <c r="I153" s="317">
        <f t="shared" si="13"/>
        <v>0</v>
      </c>
      <c r="J153" s="162">
        <f t="shared" si="14"/>
        <v>0</v>
      </c>
      <c r="K153" s="162"/>
      <c r="L153" s="335"/>
      <c r="M153" s="162">
        <f t="shared" si="19"/>
        <v>0</v>
      </c>
      <c r="N153" s="335"/>
      <c r="O153" s="162">
        <f t="shared" si="20"/>
        <v>0</v>
      </c>
      <c r="P153" s="162">
        <f t="shared" si="21"/>
        <v>0</v>
      </c>
    </row>
    <row r="154" spans="2:16" ht="13.5" thickBot="1">
      <c r="B154" s="9" t="str">
        <f t="shared" si="9"/>
        <v/>
      </c>
      <c r="C154" s="168">
        <f>IF(D93="","-",+C153+1)</f>
        <v>2069</v>
      </c>
      <c r="D154" s="388">
        <f>IF(F153+SUM(E$99:E153)=D$92,F153,D$92-SUM(E$99:E153))</f>
        <v>0</v>
      </c>
      <c r="E154" s="170">
        <f t="shared" si="10"/>
        <v>0</v>
      </c>
      <c r="F154" s="169">
        <f t="shared" si="11"/>
        <v>0</v>
      </c>
      <c r="G154" s="169">
        <f t="shared" si="12"/>
        <v>0</v>
      </c>
      <c r="H154" s="171">
        <f t="shared" si="18"/>
        <v>0</v>
      </c>
      <c r="I154" s="318">
        <f t="shared" si="13"/>
        <v>0</v>
      </c>
      <c r="J154" s="173">
        <f t="shared" si="14"/>
        <v>0</v>
      </c>
      <c r="K154" s="162"/>
      <c r="L154" s="336"/>
      <c r="M154" s="173">
        <f t="shared" si="19"/>
        <v>0</v>
      </c>
      <c r="N154" s="336"/>
      <c r="O154" s="173">
        <f t="shared" si="20"/>
        <v>0</v>
      </c>
      <c r="P154" s="173">
        <f t="shared" si="21"/>
        <v>0</v>
      </c>
    </row>
    <row r="155" spans="2:16">
      <c r="C155" s="158" t="s">
        <v>72</v>
      </c>
      <c r="D155" s="115"/>
      <c r="E155" s="115">
        <f>SUM(E99:E154)</f>
        <v>1725647</v>
      </c>
      <c r="F155" s="115"/>
      <c r="G155" s="115"/>
      <c r="H155" s="115">
        <f>SUM(H99:H154)</f>
        <v>6804984.4453888955</v>
      </c>
      <c r="I155" s="115">
        <f>SUM(I99:I154)</f>
        <v>6804984.4453888955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1" priority="1" stopIfTrue="1" operator="equal">
      <formula>$I$10</formula>
    </cfRule>
  </conditionalFormatting>
  <conditionalFormatting sqref="C99:C154">
    <cfRule type="cellIs" dxfId="20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P162"/>
  <sheetViews>
    <sheetView view="pageBreakPreview" zoomScale="78" zoomScaleNormal="100" zoomScaleSheetLayoutView="78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19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179884.73394572729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179884.73394572729</v>
      </c>
      <c r="O6" s="1"/>
      <c r="P6" s="1"/>
    </row>
    <row r="7" spans="1:16" ht="13.5" thickBot="1">
      <c r="C7" s="127" t="s">
        <v>41</v>
      </c>
      <c r="D7" s="227" t="s">
        <v>272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294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1338978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3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33474.449999999997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2017</v>
      </c>
      <c r="D17" s="466">
        <v>0</v>
      </c>
      <c r="E17" s="469">
        <v>21831.16304347826</v>
      </c>
      <c r="F17" s="467">
        <v>1317146.8369565217</v>
      </c>
      <c r="G17" s="469">
        <v>105641.64744568808</v>
      </c>
      <c r="H17" s="468">
        <v>105641.64744568808</v>
      </c>
      <c r="I17" s="160">
        <f t="shared" ref="I17:I72" si="0">H17-G17</f>
        <v>0</v>
      </c>
      <c r="J17" s="160"/>
      <c r="K17" s="337">
        <f>+G17</f>
        <v>105641.64744568808</v>
      </c>
      <c r="L17" s="161">
        <f t="shared" ref="L17:L72" si="1">IF(K17&lt;&gt;0,+G17-K17,0)</f>
        <v>0</v>
      </c>
      <c r="M17" s="337">
        <f>+H17</f>
        <v>105641.64744568808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420">
        <v>1317146.8369565217</v>
      </c>
      <c r="E18" s="421">
        <v>29755.066666666666</v>
      </c>
      <c r="F18" s="420">
        <v>1287391.7702898551</v>
      </c>
      <c r="G18" s="421">
        <v>185713.45898482588</v>
      </c>
      <c r="H18" s="425">
        <v>185713.45898482588</v>
      </c>
      <c r="I18" s="160">
        <f t="shared" si="0"/>
        <v>0</v>
      </c>
      <c r="J18" s="160"/>
      <c r="K18" s="338">
        <f>G18</f>
        <v>185713.45898482588</v>
      </c>
      <c r="L18" s="440">
        <f>IF(K18&lt;&gt;0,+G18-K18,0)</f>
        <v>0</v>
      </c>
      <c r="M18" s="338">
        <f>H18</f>
        <v>185713.45898482588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166">
        <f>IF(F18+SUM(E$17:E18)=D$10,F18,D$10-SUM(E$17:E18))</f>
        <v>1287391.7702898551</v>
      </c>
      <c r="E19" s="164">
        <f t="shared" ref="E19:E72" si="4">IF(+I$14&lt;F18,I$14,D19)</f>
        <v>33474.449999999997</v>
      </c>
      <c r="F19" s="163">
        <f t="shared" ref="F19:F72" si="5">+D19-E19</f>
        <v>1253917.3202898551</v>
      </c>
      <c r="G19" s="165">
        <f t="shared" ref="G19:G72" si="6">(D19+F19)/2*I$12+E19</f>
        <v>179884.73394572729</v>
      </c>
      <c r="H19" s="147">
        <f t="shared" ref="H19:H72" si="7">+(D19+F19)/2*I$13+E19</f>
        <v>179884.73394572729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1253917.3202898551</v>
      </c>
      <c r="E20" s="164">
        <f t="shared" si="4"/>
        <v>33474.449999999997</v>
      </c>
      <c r="F20" s="163">
        <f t="shared" si="5"/>
        <v>1220442.8702898552</v>
      </c>
      <c r="G20" s="165">
        <f t="shared" si="6"/>
        <v>176027.66378641897</v>
      </c>
      <c r="H20" s="147">
        <f t="shared" si="7"/>
        <v>176027.66378641897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1220442.8702898552</v>
      </c>
      <c r="E21" s="164">
        <f t="shared" si="4"/>
        <v>33474.449999999997</v>
      </c>
      <c r="F21" s="163">
        <f t="shared" si="5"/>
        <v>1186968.4202898552</v>
      </c>
      <c r="G21" s="165">
        <f t="shared" si="6"/>
        <v>172170.59362711059</v>
      </c>
      <c r="H21" s="147">
        <f t="shared" si="7"/>
        <v>172170.59362711059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1186968.4202898552</v>
      </c>
      <c r="E22" s="164">
        <f t="shared" si="4"/>
        <v>33474.449999999997</v>
      </c>
      <c r="F22" s="163">
        <f t="shared" si="5"/>
        <v>1153493.9702898553</v>
      </c>
      <c r="G22" s="165">
        <f t="shared" si="6"/>
        <v>168313.52346780221</v>
      </c>
      <c r="H22" s="147">
        <f t="shared" si="7"/>
        <v>168313.52346780221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1153493.9702898553</v>
      </c>
      <c r="E23" s="164">
        <f t="shared" si="4"/>
        <v>33474.449999999997</v>
      </c>
      <c r="F23" s="163">
        <f t="shared" si="5"/>
        <v>1120019.5202898553</v>
      </c>
      <c r="G23" s="165">
        <f t="shared" si="6"/>
        <v>164456.45330849383</v>
      </c>
      <c r="H23" s="147">
        <f t="shared" si="7"/>
        <v>164456.45330849383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1120019.5202898553</v>
      </c>
      <c r="E24" s="164">
        <f t="shared" si="4"/>
        <v>33474.449999999997</v>
      </c>
      <c r="F24" s="163">
        <f t="shared" si="5"/>
        <v>1086545.0702898554</v>
      </c>
      <c r="G24" s="165">
        <f t="shared" si="6"/>
        <v>160599.38314918551</v>
      </c>
      <c r="H24" s="147">
        <f t="shared" si="7"/>
        <v>160599.38314918551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1086545.0702898554</v>
      </c>
      <c r="E25" s="164">
        <f t="shared" si="4"/>
        <v>33474.449999999997</v>
      </c>
      <c r="F25" s="163">
        <f t="shared" si="5"/>
        <v>1053070.6202898554</v>
      </c>
      <c r="G25" s="165">
        <f t="shared" si="6"/>
        <v>156742.3129898771</v>
      </c>
      <c r="H25" s="147">
        <f t="shared" si="7"/>
        <v>156742.3129898771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1053070.6202898554</v>
      </c>
      <c r="E26" s="164">
        <f t="shared" si="4"/>
        <v>33474.449999999997</v>
      </c>
      <c r="F26" s="163">
        <f t="shared" si="5"/>
        <v>1019596.1702898555</v>
      </c>
      <c r="G26" s="165">
        <f t="shared" si="6"/>
        <v>152885.24283056875</v>
      </c>
      <c r="H26" s="147">
        <f t="shared" si="7"/>
        <v>152885.24283056875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1019596.1702898555</v>
      </c>
      <c r="E27" s="164">
        <f t="shared" si="4"/>
        <v>33474.449999999997</v>
      </c>
      <c r="F27" s="163">
        <f t="shared" si="5"/>
        <v>986121.7202898555</v>
      </c>
      <c r="G27" s="165">
        <f t="shared" si="6"/>
        <v>149028.17267126037</v>
      </c>
      <c r="H27" s="147">
        <f t="shared" si="7"/>
        <v>149028.17267126037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986121.7202898555</v>
      </c>
      <c r="E28" s="164">
        <f t="shared" si="4"/>
        <v>33474.449999999997</v>
      </c>
      <c r="F28" s="163">
        <f t="shared" si="5"/>
        <v>952647.27028985554</v>
      </c>
      <c r="G28" s="165">
        <f t="shared" si="6"/>
        <v>145171.10251195199</v>
      </c>
      <c r="H28" s="147">
        <f t="shared" si="7"/>
        <v>145171.10251195199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952647.27028985554</v>
      </c>
      <c r="E29" s="164">
        <f t="shared" si="4"/>
        <v>33474.449999999997</v>
      </c>
      <c r="F29" s="163">
        <f t="shared" si="5"/>
        <v>919172.82028985559</v>
      </c>
      <c r="G29" s="165">
        <f t="shared" si="6"/>
        <v>141314.03235264361</v>
      </c>
      <c r="H29" s="147">
        <f t="shared" si="7"/>
        <v>141314.03235264361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919172.82028985559</v>
      </c>
      <c r="E30" s="164">
        <f t="shared" si="4"/>
        <v>33474.449999999997</v>
      </c>
      <c r="F30" s="163">
        <f t="shared" si="5"/>
        <v>885698.37028985564</v>
      </c>
      <c r="G30" s="165">
        <f t="shared" si="6"/>
        <v>137456.96219333526</v>
      </c>
      <c r="H30" s="147">
        <f t="shared" si="7"/>
        <v>137456.96219333526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885698.37028985564</v>
      </c>
      <c r="E31" s="164">
        <f t="shared" si="4"/>
        <v>33474.449999999997</v>
      </c>
      <c r="F31" s="163">
        <f t="shared" si="5"/>
        <v>852223.92028985568</v>
      </c>
      <c r="G31" s="165">
        <f t="shared" si="6"/>
        <v>133599.89203402691</v>
      </c>
      <c r="H31" s="147">
        <f t="shared" si="7"/>
        <v>133599.89203402691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852223.92028985568</v>
      </c>
      <c r="E32" s="164">
        <f t="shared" si="4"/>
        <v>33474.449999999997</v>
      </c>
      <c r="F32" s="163">
        <f t="shared" si="5"/>
        <v>818749.47028985573</v>
      </c>
      <c r="G32" s="165">
        <f t="shared" si="6"/>
        <v>129742.82187471852</v>
      </c>
      <c r="H32" s="147">
        <f t="shared" si="7"/>
        <v>129742.82187471852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818749.47028985573</v>
      </c>
      <c r="E33" s="164">
        <f t="shared" si="4"/>
        <v>33474.449999999997</v>
      </c>
      <c r="F33" s="163">
        <f t="shared" si="5"/>
        <v>785275.02028985578</v>
      </c>
      <c r="G33" s="165">
        <f t="shared" si="6"/>
        <v>125885.75171541015</v>
      </c>
      <c r="H33" s="147">
        <f t="shared" si="7"/>
        <v>125885.75171541015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785275.02028985578</v>
      </c>
      <c r="E34" s="164">
        <f t="shared" si="4"/>
        <v>33474.449999999997</v>
      </c>
      <c r="F34" s="163">
        <f t="shared" si="5"/>
        <v>751800.57028985582</v>
      </c>
      <c r="G34" s="165">
        <f t="shared" si="6"/>
        <v>122028.68155610179</v>
      </c>
      <c r="H34" s="147">
        <f t="shared" si="7"/>
        <v>122028.68155610179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751800.57028985582</v>
      </c>
      <c r="E35" s="164">
        <f t="shared" si="4"/>
        <v>33474.449999999997</v>
      </c>
      <c r="F35" s="163">
        <f t="shared" si="5"/>
        <v>718326.12028985587</v>
      </c>
      <c r="G35" s="165">
        <f t="shared" si="6"/>
        <v>118171.61139679341</v>
      </c>
      <c r="H35" s="147">
        <f t="shared" si="7"/>
        <v>118171.61139679341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718326.12028985587</v>
      </c>
      <c r="E36" s="164">
        <f t="shared" si="4"/>
        <v>33474.449999999997</v>
      </c>
      <c r="F36" s="163">
        <f t="shared" si="5"/>
        <v>684851.67028985592</v>
      </c>
      <c r="G36" s="165">
        <f t="shared" si="6"/>
        <v>114314.54123748504</v>
      </c>
      <c r="H36" s="147">
        <f t="shared" si="7"/>
        <v>114314.54123748504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684851.67028985592</v>
      </c>
      <c r="E37" s="164">
        <f t="shared" si="4"/>
        <v>33474.449999999997</v>
      </c>
      <c r="F37" s="163">
        <f t="shared" si="5"/>
        <v>651377.22028985596</v>
      </c>
      <c r="G37" s="165">
        <f t="shared" si="6"/>
        <v>110457.47107817668</v>
      </c>
      <c r="H37" s="147">
        <f t="shared" si="7"/>
        <v>110457.47107817668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651377.22028985596</v>
      </c>
      <c r="E38" s="164">
        <f t="shared" si="4"/>
        <v>33474.449999999997</v>
      </c>
      <c r="F38" s="163">
        <f t="shared" si="5"/>
        <v>617902.77028985601</v>
      </c>
      <c r="G38" s="165">
        <f t="shared" si="6"/>
        <v>106600.40091886831</v>
      </c>
      <c r="H38" s="147">
        <f t="shared" si="7"/>
        <v>106600.40091886831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617902.77028985601</v>
      </c>
      <c r="E39" s="164">
        <f t="shared" si="4"/>
        <v>33474.449999999997</v>
      </c>
      <c r="F39" s="163">
        <f t="shared" si="5"/>
        <v>584428.32028985606</v>
      </c>
      <c r="G39" s="165">
        <f t="shared" si="6"/>
        <v>102743.33075955993</v>
      </c>
      <c r="H39" s="147">
        <f t="shared" si="7"/>
        <v>102743.33075955993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584428.32028985606</v>
      </c>
      <c r="E40" s="164">
        <f t="shared" si="4"/>
        <v>33474.449999999997</v>
      </c>
      <c r="F40" s="163">
        <f t="shared" si="5"/>
        <v>550953.8702898561</v>
      </c>
      <c r="G40" s="165">
        <f t="shared" si="6"/>
        <v>98886.260600251568</v>
      </c>
      <c r="H40" s="147">
        <f t="shared" si="7"/>
        <v>98886.260600251568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550953.8702898561</v>
      </c>
      <c r="E41" s="164">
        <f t="shared" si="4"/>
        <v>33474.449999999997</v>
      </c>
      <c r="F41" s="163">
        <f t="shared" si="5"/>
        <v>517479.42028985609</v>
      </c>
      <c r="G41" s="165">
        <f t="shared" si="6"/>
        <v>95029.190440943203</v>
      </c>
      <c r="H41" s="147">
        <f t="shared" si="7"/>
        <v>95029.190440943203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517479.42028985609</v>
      </c>
      <c r="E42" s="164">
        <f t="shared" si="4"/>
        <v>33474.449999999997</v>
      </c>
      <c r="F42" s="163">
        <f t="shared" si="5"/>
        <v>484004.97028985608</v>
      </c>
      <c r="G42" s="165">
        <f t="shared" si="6"/>
        <v>91172.120281634823</v>
      </c>
      <c r="H42" s="147">
        <f t="shared" si="7"/>
        <v>91172.120281634823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484004.97028985608</v>
      </c>
      <c r="E43" s="164">
        <f t="shared" si="4"/>
        <v>33474.449999999997</v>
      </c>
      <c r="F43" s="163">
        <f t="shared" si="5"/>
        <v>450530.52028985607</v>
      </c>
      <c r="G43" s="165">
        <f t="shared" si="6"/>
        <v>87315.050122326444</v>
      </c>
      <c r="H43" s="147">
        <f t="shared" si="7"/>
        <v>87315.050122326444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450530.52028985607</v>
      </c>
      <c r="E44" s="164">
        <f t="shared" si="4"/>
        <v>33474.449999999997</v>
      </c>
      <c r="F44" s="163">
        <f t="shared" si="5"/>
        <v>417056.07028985606</v>
      </c>
      <c r="G44" s="165">
        <f t="shared" si="6"/>
        <v>83457.979963018064</v>
      </c>
      <c r="H44" s="147">
        <f t="shared" si="7"/>
        <v>83457.979963018064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417056.07028985606</v>
      </c>
      <c r="E45" s="164">
        <f t="shared" si="4"/>
        <v>33474.449999999997</v>
      </c>
      <c r="F45" s="163">
        <f t="shared" si="5"/>
        <v>383581.62028985604</v>
      </c>
      <c r="G45" s="165">
        <f t="shared" si="6"/>
        <v>79600.909803709685</v>
      </c>
      <c r="H45" s="147">
        <f t="shared" si="7"/>
        <v>79600.909803709685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383581.62028985604</v>
      </c>
      <c r="E46" s="164">
        <f t="shared" si="4"/>
        <v>33474.449999999997</v>
      </c>
      <c r="F46" s="163">
        <f t="shared" si="5"/>
        <v>350107.17028985603</v>
      </c>
      <c r="G46" s="165">
        <f t="shared" si="6"/>
        <v>75743.839644401305</v>
      </c>
      <c r="H46" s="147">
        <f t="shared" si="7"/>
        <v>75743.839644401305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350107.17028985603</v>
      </c>
      <c r="E47" s="164">
        <f t="shared" si="4"/>
        <v>33474.449999999997</v>
      </c>
      <c r="F47" s="163">
        <f t="shared" si="5"/>
        <v>316632.72028985602</v>
      </c>
      <c r="G47" s="165">
        <f t="shared" si="6"/>
        <v>71886.76948509294</v>
      </c>
      <c r="H47" s="147">
        <f t="shared" si="7"/>
        <v>71886.76948509294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316632.72028985602</v>
      </c>
      <c r="E48" s="164">
        <f t="shared" si="4"/>
        <v>33474.449999999997</v>
      </c>
      <c r="F48" s="163">
        <f t="shared" si="5"/>
        <v>283158.27028985601</v>
      </c>
      <c r="G48" s="165">
        <f t="shared" si="6"/>
        <v>68029.699325784546</v>
      </c>
      <c r="H48" s="147">
        <f t="shared" si="7"/>
        <v>68029.699325784546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283158.27028985601</v>
      </c>
      <c r="E49" s="164">
        <f t="shared" si="4"/>
        <v>33474.449999999997</v>
      </c>
      <c r="F49" s="163">
        <f t="shared" si="5"/>
        <v>249683.820289856</v>
      </c>
      <c r="G49" s="165">
        <f t="shared" si="6"/>
        <v>64172.629166476181</v>
      </c>
      <c r="H49" s="147">
        <f t="shared" si="7"/>
        <v>64172.629166476181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249683.820289856</v>
      </c>
      <c r="E50" s="164">
        <f t="shared" si="4"/>
        <v>33474.449999999997</v>
      </c>
      <c r="F50" s="163">
        <f t="shared" si="5"/>
        <v>216209.37028985599</v>
      </c>
      <c r="G50" s="165">
        <f t="shared" si="6"/>
        <v>60315.559007167802</v>
      </c>
      <c r="H50" s="147">
        <f t="shared" si="7"/>
        <v>60315.559007167802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216209.37028985599</v>
      </c>
      <c r="E51" s="164">
        <f t="shared" si="4"/>
        <v>33474.449999999997</v>
      </c>
      <c r="F51" s="163">
        <f t="shared" si="5"/>
        <v>182734.92028985597</v>
      </c>
      <c r="G51" s="165">
        <f t="shared" si="6"/>
        <v>56458.488847859429</v>
      </c>
      <c r="H51" s="147">
        <f t="shared" si="7"/>
        <v>56458.488847859429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182734.92028985597</v>
      </c>
      <c r="E52" s="164">
        <f t="shared" si="4"/>
        <v>33474.449999999997</v>
      </c>
      <c r="F52" s="163">
        <f t="shared" si="5"/>
        <v>149260.47028985596</v>
      </c>
      <c r="G52" s="165">
        <f t="shared" si="6"/>
        <v>52601.418688551057</v>
      </c>
      <c r="H52" s="147">
        <f t="shared" si="7"/>
        <v>52601.418688551057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149260.47028985596</v>
      </c>
      <c r="E53" s="164">
        <f t="shared" si="4"/>
        <v>33474.449999999997</v>
      </c>
      <c r="F53" s="163">
        <f t="shared" si="5"/>
        <v>115786.02028985597</v>
      </c>
      <c r="G53" s="165">
        <f t="shared" si="6"/>
        <v>48744.348529242678</v>
      </c>
      <c r="H53" s="147">
        <f t="shared" si="7"/>
        <v>48744.348529242678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115786.02028985597</v>
      </c>
      <c r="E54" s="164">
        <f t="shared" si="4"/>
        <v>33474.449999999997</v>
      </c>
      <c r="F54" s="163">
        <f t="shared" si="5"/>
        <v>82311.570289855968</v>
      </c>
      <c r="G54" s="165">
        <f t="shared" si="6"/>
        <v>44887.278369934298</v>
      </c>
      <c r="H54" s="147">
        <f t="shared" si="7"/>
        <v>44887.278369934298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82311.570289855968</v>
      </c>
      <c r="E55" s="164">
        <f t="shared" si="4"/>
        <v>33474.449999999997</v>
      </c>
      <c r="F55" s="163">
        <f t="shared" si="5"/>
        <v>48837.120289855971</v>
      </c>
      <c r="G55" s="165">
        <f t="shared" si="6"/>
        <v>41030.208210625926</v>
      </c>
      <c r="H55" s="147">
        <f t="shared" si="7"/>
        <v>41030.208210625926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48837.120289855971</v>
      </c>
      <c r="E56" s="164">
        <f t="shared" si="4"/>
        <v>33474.449999999997</v>
      </c>
      <c r="F56" s="163">
        <f t="shared" si="5"/>
        <v>15362.670289855974</v>
      </c>
      <c r="G56" s="165">
        <f t="shared" si="6"/>
        <v>37173.138051317554</v>
      </c>
      <c r="H56" s="147">
        <f t="shared" si="7"/>
        <v>37173.138051317554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15362.670289855974</v>
      </c>
      <c r="E57" s="164">
        <f t="shared" si="4"/>
        <v>15362.670289855974</v>
      </c>
      <c r="F57" s="163">
        <f t="shared" si="5"/>
        <v>0</v>
      </c>
      <c r="G57" s="165">
        <f t="shared" si="6"/>
        <v>16247.746775687658</v>
      </c>
      <c r="H57" s="147">
        <f t="shared" si="7"/>
        <v>16247.746775687658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1338978</v>
      </c>
      <c r="F73" s="115"/>
      <c r="G73" s="115">
        <f>SUM(G17:G72)</f>
        <v>4431702.4211500539</v>
      </c>
      <c r="H73" s="115">
        <f>SUM(H17:H72)</f>
        <v>4431702.4211500539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19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105641.64744568808</v>
      </c>
      <c r="N87" s="202">
        <f>IF(J92&lt;D11,0,VLOOKUP(J92,C17:O72,11))</f>
        <v>105641.64744568808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105372.70906867021</v>
      </c>
      <c r="N88" s="204">
        <f>IF(J92&lt;D11,0,VLOOKUP(J92,C99:P154,7))</f>
        <v>105372.70906867021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Valliant-NW Texarkana 345 kV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-268.93837701786833</v>
      </c>
      <c r="N89" s="207">
        <f>+N88-N87</f>
        <v>-268.93837701786833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1338978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3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29108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2017</v>
      </c>
      <c r="D99" s="158">
        <v>0</v>
      </c>
      <c r="E99" s="165">
        <f>IF(OR(D11=I10,D92&lt;100000),0,J$96/12*(12-D94))</f>
        <v>21831</v>
      </c>
      <c r="F99" s="163">
        <f>IF(D93=C99,+D92-E99,+D99-E99)</f>
        <v>1317147</v>
      </c>
      <c r="G99" s="218">
        <f>+(F99+D99)/2</f>
        <v>658573.5</v>
      </c>
      <c r="H99" s="482">
        <f>+J$94*G99+E99</f>
        <v>105372.70906867021</v>
      </c>
      <c r="I99" s="218">
        <f>+J$95*G99+E99</f>
        <v>105372.70906867021</v>
      </c>
      <c r="J99" s="162">
        <f t="shared" ref="J99:J130" si="9">+I99-H99</f>
        <v>0</v>
      </c>
      <c r="K99" s="162"/>
      <c r="L99" s="334"/>
      <c r="M99" s="161">
        <f t="shared" ref="M99:M130" si="10">IF(L99&lt;&gt;0,+H99-L99,0)</f>
        <v>0</v>
      </c>
      <c r="N99" s="334"/>
      <c r="O99" s="161">
        <f t="shared" ref="O99:O130" si="11">IF(N99&lt;&gt;0,+I99-N99,0)</f>
        <v>0</v>
      </c>
      <c r="P99" s="161">
        <f t="shared" ref="P99:P130" si="12">+O99-M99</f>
        <v>0</v>
      </c>
    </row>
    <row r="100" spans="1:16">
      <c r="B100" s="9" t="str">
        <f>IF(D100=F99,"","IU")</f>
        <v/>
      </c>
      <c r="C100" s="157">
        <f>IF(D93="","-",+C99+1)</f>
        <v>2018</v>
      </c>
      <c r="D100" s="158">
        <f>IF(F99+SUM(E$99:E99)=D$92,F99,D$92-SUM(E$99:E99))</f>
        <v>1317147</v>
      </c>
      <c r="E100" s="164">
        <f>IF(+J$96&lt;F99,J$96,D100)</f>
        <v>29108</v>
      </c>
      <c r="F100" s="163">
        <f>+D100-E100</f>
        <v>1288039</v>
      </c>
      <c r="G100" s="163">
        <f>+(F100+D100)/2</f>
        <v>1302593</v>
      </c>
      <c r="H100" s="333">
        <f t="shared" ref="H100:H154" si="13">+J$94*G100+E100</f>
        <v>194345.20653941639</v>
      </c>
      <c r="I100" s="344">
        <f t="shared" ref="I100:I154" si="14">+J$95*G100+E100</f>
        <v>194345.20653941639</v>
      </c>
      <c r="J100" s="162">
        <f t="shared" si="9"/>
        <v>0</v>
      </c>
      <c r="K100" s="162"/>
      <c r="L100" s="335"/>
      <c r="M100" s="162">
        <f t="shared" si="10"/>
        <v>0</v>
      </c>
      <c r="N100" s="335"/>
      <c r="O100" s="162">
        <f t="shared" si="11"/>
        <v>0</v>
      </c>
      <c r="P100" s="162">
        <f t="shared" si="12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2019</v>
      </c>
      <c r="D101" s="158">
        <f>IF(F100+SUM(E$99:E100)=D$92,F100,D$92-SUM(E$99:E100))</f>
        <v>1288039</v>
      </c>
      <c r="E101" s="164">
        <f t="shared" ref="E101:E154" si="16">IF(+J$96&lt;F100,J$96,D101)</f>
        <v>29108</v>
      </c>
      <c r="F101" s="163">
        <f t="shared" ref="F101:F154" si="17">+D101-E101</f>
        <v>1258931</v>
      </c>
      <c r="G101" s="163">
        <f t="shared" ref="G101:G154" si="18">+(F101+D101)/2</f>
        <v>1273485</v>
      </c>
      <c r="H101" s="333">
        <f t="shared" si="13"/>
        <v>190652.78334356833</v>
      </c>
      <c r="I101" s="344">
        <f t="shared" si="14"/>
        <v>190652.78334356833</v>
      </c>
      <c r="J101" s="162">
        <f t="shared" si="9"/>
        <v>0</v>
      </c>
      <c r="K101" s="162"/>
      <c r="L101" s="335"/>
      <c r="M101" s="162">
        <f t="shared" si="10"/>
        <v>0</v>
      </c>
      <c r="N101" s="335"/>
      <c r="O101" s="162">
        <f t="shared" si="11"/>
        <v>0</v>
      </c>
      <c r="P101" s="162">
        <f t="shared" si="12"/>
        <v>0</v>
      </c>
    </row>
    <row r="102" spans="1:16">
      <c r="B102" s="9" t="str">
        <f t="shared" si="15"/>
        <v/>
      </c>
      <c r="C102" s="157">
        <f>IF(D93="","-",+C101+1)</f>
        <v>2020</v>
      </c>
      <c r="D102" s="158">
        <f>IF(F101+SUM(E$99:E101)=D$92,F101,D$92-SUM(E$99:E101))</f>
        <v>1258931</v>
      </c>
      <c r="E102" s="164">
        <f t="shared" si="16"/>
        <v>29108</v>
      </c>
      <c r="F102" s="163">
        <f t="shared" si="17"/>
        <v>1229823</v>
      </c>
      <c r="G102" s="163">
        <f t="shared" si="18"/>
        <v>1244377</v>
      </c>
      <c r="H102" s="333">
        <f t="shared" si="13"/>
        <v>186960.36014772023</v>
      </c>
      <c r="I102" s="344">
        <f t="shared" si="14"/>
        <v>186960.36014772023</v>
      </c>
      <c r="J102" s="162">
        <f t="shared" si="9"/>
        <v>0</v>
      </c>
      <c r="K102" s="162"/>
      <c r="L102" s="335"/>
      <c r="M102" s="162">
        <f t="shared" si="10"/>
        <v>0</v>
      </c>
      <c r="N102" s="335"/>
      <c r="O102" s="162">
        <f t="shared" si="11"/>
        <v>0</v>
      </c>
      <c r="P102" s="162">
        <f t="shared" si="12"/>
        <v>0</v>
      </c>
    </row>
    <row r="103" spans="1:16">
      <c r="B103" s="9" t="str">
        <f t="shared" si="15"/>
        <v/>
      </c>
      <c r="C103" s="157">
        <f>IF(D93="","-",+C102+1)</f>
        <v>2021</v>
      </c>
      <c r="D103" s="158">
        <f>IF(F102+SUM(E$99:E102)=D$92,F102,D$92-SUM(E$99:E102))</f>
        <v>1229823</v>
      </c>
      <c r="E103" s="164">
        <f t="shared" si="16"/>
        <v>29108</v>
      </c>
      <c r="F103" s="163">
        <f t="shared" si="17"/>
        <v>1200715</v>
      </c>
      <c r="G103" s="163">
        <f t="shared" si="18"/>
        <v>1215269</v>
      </c>
      <c r="H103" s="333">
        <f t="shared" si="13"/>
        <v>183267.93695187217</v>
      </c>
      <c r="I103" s="344">
        <f t="shared" si="14"/>
        <v>183267.93695187217</v>
      </c>
      <c r="J103" s="162">
        <f t="shared" si="9"/>
        <v>0</v>
      </c>
      <c r="K103" s="162"/>
      <c r="L103" s="335"/>
      <c r="M103" s="162">
        <f t="shared" si="10"/>
        <v>0</v>
      </c>
      <c r="N103" s="335"/>
      <c r="O103" s="162">
        <f t="shared" si="11"/>
        <v>0</v>
      </c>
      <c r="P103" s="162">
        <f t="shared" si="12"/>
        <v>0</v>
      </c>
    </row>
    <row r="104" spans="1:16">
      <c r="B104" s="9" t="str">
        <f t="shared" si="15"/>
        <v/>
      </c>
      <c r="C104" s="157">
        <f>IF(D93="","-",+C103+1)</f>
        <v>2022</v>
      </c>
      <c r="D104" s="158">
        <f>IF(F103+SUM(E$99:E103)=D$92,F103,D$92-SUM(E$99:E103))</f>
        <v>1200715</v>
      </c>
      <c r="E104" s="164">
        <f t="shared" si="16"/>
        <v>29108</v>
      </c>
      <c r="F104" s="163">
        <f t="shared" si="17"/>
        <v>1171607</v>
      </c>
      <c r="G104" s="163">
        <f t="shared" si="18"/>
        <v>1186161</v>
      </c>
      <c r="H104" s="333">
        <f t="shared" si="13"/>
        <v>179575.5137560241</v>
      </c>
      <c r="I104" s="344">
        <f t="shared" si="14"/>
        <v>179575.5137560241</v>
      </c>
      <c r="J104" s="162">
        <f t="shared" si="9"/>
        <v>0</v>
      </c>
      <c r="K104" s="162"/>
      <c r="L104" s="335"/>
      <c r="M104" s="162">
        <f t="shared" si="10"/>
        <v>0</v>
      </c>
      <c r="N104" s="335"/>
      <c r="O104" s="162">
        <f t="shared" si="11"/>
        <v>0</v>
      </c>
      <c r="P104" s="162">
        <f t="shared" si="12"/>
        <v>0</v>
      </c>
    </row>
    <row r="105" spans="1:16">
      <c r="B105" s="9" t="str">
        <f t="shared" si="15"/>
        <v/>
      </c>
      <c r="C105" s="157">
        <f>IF(D93="","-",+C104+1)</f>
        <v>2023</v>
      </c>
      <c r="D105" s="158">
        <f>IF(F104+SUM(E$99:E104)=D$92,F104,D$92-SUM(E$99:E104))</f>
        <v>1171607</v>
      </c>
      <c r="E105" s="164">
        <f t="shared" si="16"/>
        <v>29108</v>
      </c>
      <c r="F105" s="163">
        <f t="shared" si="17"/>
        <v>1142499</v>
      </c>
      <c r="G105" s="163">
        <f t="shared" si="18"/>
        <v>1157053</v>
      </c>
      <c r="H105" s="333">
        <f t="shared" si="13"/>
        <v>175883.090560176</v>
      </c>
      <c r="I105" s="344">
        <f t="shared" si="14"/>
        <v>175883.090560176</v>
      </c>
      <c r="J105" s="162">
        <f t="shared" si="9"/>
        <v>0</v>
      </c>
      <c r="K105" s="162"/>
      <c r="L105" s="335"/>
      <c r="M105" s="162">
        <f t="shared" si="10"/>
        <v>0</v>
      </c>
      <c r="N105" s="335"/>
      <c r="O105" s="162">
        <f t="shared" si="11"/>
        <v>0</v>
      </c>
      <c r="P105" s="162">
        <f t="shared" si="12"/>
        <v>0</v>
      </c>
    </row>
    <row r="106" spans="1:16">
      <c r="B106" s="9" t="str">
        <f t="shared" si="15"/>
        <v/>
      </c>
      <c r="C106" s="157">
        <f>IF(D93="","-",+C105+1)</f>
        <v>2024</v>
      </c>
      <c r="D106" s="158">
        <f>IF(F105+SUM(E$99:E105)=D$92,F105,D$92-SUM(E$99:E105))</f>
        <v>1142499</v>
      </c>
      <c r="E106" s="164">
        <f t="shared" si="16"/>
        <v>29108</v>
      </c>
      <c r="F106" s="163">
        <f t="shared" si="17"/>
        <v>1113391</v>
      </c>
      <c r="G106" s="163">
        <f t="shared" si="18"/>
        <v>1127945</v>
      </c>
      <c r="H106" s="333">
        <f t="shared" si="13"/>
        <v>172190.66736432794</v>
      </c>
      <c r="I106" s="344">
        <f t="shared" si="14"/>
        <v>172190.66736432794</v>
      </c>
      <c r="J106" s="162">
        <f t="shared" si="9"/>
        <v>0</v>
      </c>
      <c r="K106" s="162"/>
      <c r="L106" s="335"/>
      <c r="M106" s="162">
        <f t="shared" si="10"/>
        <v>0</v>
      </c>
      <c r="N106" s="335"/>
      <c r="O106" s="162">
        <f t="shared" si="11"/>
        <v>0</v>
      </c>
      <c r="P106" s="162">
        <f t="shared" si="12"/>
        <v>0</v>
      </c>
    </row>
    <row r="107" spans="1:16">
      <c r="B107" s="9" t="str">
        <f t="shared" si="15"/>
        <v/>
      </c>
      <c r="C107" s="157">
        <f>IF(D93="","-",+C106+1)</f>
        <v>2025</v>
      </c>
      <c r="D107" s="158">
        <f>IF(F106+SUM(E$99:E106)=D$92,F106,D$92-SUM(E$99:E106))</f>
        <v>1113391</v>
      </c>
      <c r="E107" s="164">
        <f t="shared" si="16"/>
        <v>29108</v>
      </c>
      <c r="F107" s="163">
        <f t="shared" si="17"/>
        <v>1084283</v>
      </c>
      <c r="G107" s="163">
        <f t="shared" si="18"/>
        <v>1098837</v>
      </c>
      <c r="H107" s="333">
        <f t="shared" si="13"/>
        <v>168498.24416847987</v>
      </c>
      <c r="I107" s="344">
        <f t="shared" si="14"/>
        <v>168498.24416847987</v>
      </c>
      <c r="J107" s="162">
        <f t="shared" si="9"/>
        <v>0</v>
      </c>
      <c r="K107" s="162"/>
      <c r="L107" s="335"/>
      <c r="M107" s="162">
        <f t="shared" si="10"/>
        <v>0</v>
      </c>
      <c r="N107" s="335"/>
      <c r="O107" s="162">
        <f t="shared" si="11"/>
        <v>0</v>
      </c>
      <c r="P107" s="162">
        <f t="shared" si="12"/>
        <v>0</v>
      </c>
    </row>
    <row r="108" spans="1:16">
      <c r="B108" s="9" t="str">
        <f t="shared" si="15"/>
        <v/>
      </c>
      <c r="C108" s="157">
        <f>IF(D93="","-",+C107+1)</f>
        <v>2026</v>
      </c>
      <c r="D108" s="158">
        <f>IF(F107+SUM(E$99:E107)=D$92,F107,D$92-SUM(E$99:E107))</f>
        <v>1084283</v>
      </c>
      <c r="E108" s="164">
        <f t="shared" si="16"/>
        <v>29108</v>
      </c>
      <c r="F108" s="163">
        <f t="shared" si="17"/>
        <v>1055175</v>
      </c>
      <c r="G108" s="163">
        <f t="shared" si="18"/>
        <v>1069729</v>
      </c>
      <c r="H108" s="333">
        <f t="shared" si="13"/>
        <v>164805.82097263177</v>
      </c>
      <c r="I108" s="344">
        <f t="shared" si="14"/>
        <v>164805.82097263177</v>
      </c>
      <c r="J108" s="162">
        <f t="shared" si="9"/>
        <v>0</v>
      </c>
      <c r="K108" s="162"/>
      <c r="L108" s="335"/>
      <c r="M108" s="162">
        <f t="shared" si="10"/>
        <v>0</v>
      </c>
      <c r="N108" s="335"/>
      <c r="O108" s="162">
        <f t="shared" si="11"/>
        <v>0</v>
      </c>
      <c r="P108" s="162">
        <f t="shared" si="12"/>
        <v>0</v>
      </c>
    </row>
    <row r="109" spans="1:16">
      <c r="B109" s="9" t="str">
        <f t="shared" si="15"/>
        <v/>
      </c>
      <c r="C109" s="157">
        <f>IF(D93="","-",+C108+1)</f>
        <v>2027</v>
      </c>
      <c r="D109" s="158">
        <f>IF(F108+SUM(E$99:E108)=D$92,F108,D$92-SUM(E$99:E108))</f>
        <v>1055175</v>
      </c>
      <c r="E109" s="164">
        <f t="shared" si="16"/>
        <v>29108</v>
      </c>
      <c r="F109" s="163">
        <f t="shared" si="17"/>
        <v>1026067</v>
      </c>
      <c r="G109" s="163">
        <f t="shared" si="18"/>
        <v>1040621</v>
      </c>
      <c r="H109" s="333">
        <f t="shared" si="13"/>
        <v>161113.39777678371</v>
      </c>
      <c r="I109" s="344">
        <f t="shared" si="14"/>
        <v>161113.39777678371</v>
      </c>
      <c r="J109" s="162">
        <f t="shared" si="9"/>
        <v>0</v>
      </c>
      <c r="K109" s="162"/>
      <c r="L109" s="335"/>
      <c r="M109" s="162">
        <f t="shared" si="10"/>
        <v>0</v>
      </c>
      <c r="N109" s="335"/>
      <c r="O109" s="162">
        <f t="shared" si="11"/>
        <v>0</v>
      </c>
      <c r="P109" s="162">
        <f t="shared" si="12"/>
        <v>0</v>
      </c>
    </row>
    <row r="110" spans="1:16">
      <c r="B110" s="9" t="str">
        <f t="shared" si="15"/>
        <v/>
      </c>
      <c r="C110" s="157">
        <f>IF(D93="","-",+C109+1)</f>
        <v>2028</v>
      </c>
      <c r="D110" s="158">
        <f>IF(F109+SUM(E$99:E109)=D$92,F109,D$92-SUM(E$99:E109))</f>
        <v>1026067</v>
      </c>
      <c r="E110" s="164">
        <f t="shared" si="16"/>
        <v>29108</v>
      </c>
      <c r="F110" s="163">
        <f t="shared" si="17"/>
        <v>996959</v>
      </c>
      <c r="G110" s="163">
        <f t="shared" si="18"/>
        <v>1011513</v>
      </c>
      <c r="H110" s="333">
        <f t="shared" si="13"/>
        <v>157420.97458093564</v>
      </c>
      <c r="I110" s="344">
        <f t="shared" si="14"/>
        <v>157420.97458093564</v>
      </c>
      <c r="J110" s="162">
        <f t="shared" si="9"/>
        <v>0</v>
      </c>
      <c r="K110" s="162"/>
      <c r="L110" s="335"/>
      <c r="M110" s="162">
        <f t="shared" si="10"/>
        <v>0</v>
      </c>
      <c r="N110" s="335"/>
      <c r="O110" s="162">
        <f t="shared" si="11"/>
        <v>0</v>
      </c>
      <c r="P110" s="162">
        <f t="shared" si="12"/>
        <v>0</v>
      </c>
    </row>
    <row r="111" spans="1:16">
      <c r="B111" s="9" t="str">
        <f t="shared" si="15"/>
        <v/>
      </c>
      <c r="C111" s="157">
        <f>IF(D93="","-",+C110+1)</f>
        <v>2029</v>
      </c>
      <c r="D111" s="158">
        <f>IF(F110+SUM(E$99:E110)=D$92,F110,D$92-SUM(E$99:E110))</f>
        <v>996959</v>
      </c>
      <c r="E111" s="164">
        <f t="shared" si="16"/>
        <v>29108</v>
      </c>
      <c r="F111" s="163">
        <f t="shared" si="17"/>
        <v>967851</v>
      </c>
      <c r="G111" s="163">
        <f t="shared" si="18"/>
        <v>982405</v>
      </c>
      <c r="H111" s="333">
        <f t="shared" si="13"/>
        <v>153728.55138508754</v>
      </c>
      <c r="I111" s="344">
        <f t="shared" si="14"/>
        <v>153728.55138508754</v>
      </c>
      <c r="J111" s="162">
        <f t="shared" si="9"/>
        <v>0</v>
      </c>
      <c r="K111" s="162"/>
      <c r="L111" s="335"/>
      <c r="M111" s="162">
        <f t="shared" si="10"/>
        <v>0</v>
      </c>
      <c r="N111" s="335"/>
      <c r="O111" s="162">
        <f t="shared" si="11"/>
        <v>0</v>
      </c>
      <c r="P111" s="162">
        <f t="shared" si="12"/>
        <v>0</v>
      </c>
    </row>
    <row r="112" spans="1:16">
      <c r="B112" s="9" t="str">
        <f t="shared" si="15"/>
        <v/>
      </c>
      <c r="C112" s="157">
        <f>IF(D93="","-",+C111+1)</f>
        <v>2030</v>
      </c>
      <c r="D112" s="158">
        <f>IF(F111+SUM(E$99:E111)=D$92,F111,D$92-SUM(E$99:E111))</f>
        <v>967851</v>
      </c>
      <c r="E112" s="164">
        <f t="shared" si="16"/>
        <v>29108</v>
      </c>
      <c r="F112" s="163">
        <f t="shared" si="17"/>
        <v>938743</v>
      </c>
      <c r="G112" s="163">
        <f t="shared" si="18"/>
        <v>953297</v>
      </c>
      <c r="H112" s="333">
        <f t="shared" si="13"/>
        <v>150036.12818923948</v>
      </c>
      <c r="I112" s="344">
        <f t="shared" si="14"/>
        <v>150036.12818923948</v>
      </c>
      <c r="J112" s="162">
        <f t="shared" si="9"/>
        <v>0</v>
      </c>
      <c r="K112" s="162"/>
      <c r="L112" s="335"/>
      <c r="M112" s="162">
        <f t="shared" si="10"/>
        <v>0</v>
      </c>
      <c r="N112" s="335"/>
      <c r="O112" s="162">
        <f t="shared" si="11"/>
        <v>0</v>
      </c>
      <c r="P112" s="162">
        <f t="shared" si="12"/>
        <v>0</v>
      </c>
    </row>
    <row r="113" spans="2:16">
      <c r="B113" s="9" t="str">
        <f t="shared" si="15"/>
        <v/>
      </c>
      <c r="C113" s="157">
        <f>IF(D93="","-",+C112+1)</f>
        <v>2031</v>
      </c>
      <c r="D113" s="158">
        <f>IF(F112+SUM(E$99:E112)=D$92,F112,D$92-SUM(E$99:E112))</f>
        <v>938743</v>
      </c>
      <c r="E113" s="164">
        <f t="shared" si="16"/>
        <v>29108</v>
      </c>
      <c r="F113" s="163">
        <f t="shared" si="17"/>
        <v>909635</v>
      </c>
      <c r="G113" s="163">
        <f t="shared" si="18"/>
        <v>924189</v>
      </c>
      <c r="H113" s="333">
        <f t="shared" si="13"/>
        <v>146343.70499339141</v>
      </c>
      <c r="I113" s="344">
        <f t="shared" si="14"/>
        <v>146343.70499339141</v>
      </c>
      <c r="J113" s="162">
        <f t="shared" si="9"/>
        <v>0</v>
      </c>
      <c r="K113" s="162"/>
      <c r="L113" s="335"/>
      <c r="M113" s="162">
        <f t="shared" si="10"/>
        <v>0</v>
      </c>
      <c r="N113" s="335"/>
      <c r="O113" s="162">
        <f t="shared" si="11"/>
        <v>0</v>
      </c>
      <c r="P113" s="162">
        <f t="shared" si="12"/>
        <v>0</v>
      </c>
    </row>
    <row r="114" spans="2:16">
      <c r="B114" s="9" t="str">
        <f t="shared" si="15"/>
        <v/>
      </c>
      <c r="C114" s="157">
        <f>IF(D93="","-",+C113+1)</f>
        <v>2032</v>
      </c>
      <c r="D114" s="158">
        <f>IF(F113+SUM(E$99:E113)=D$92,F113,D$92-SUM(E$99:E113))</f>
        <v>909635</v>
      </c>
      <c r="E114" s="164">
        <f t="shared" si="16"/>
        <v>29108</v>
      </c>
      <c r="F114" s="163">
        <f t="shared" si="17"/>
        <v>880527</v>
      </c>
      <c r="G114" s="163">
        <f t="shared" si="18"/>
        <v>895081</v>
      </c>
      <c r="H114" s="333">
        <f t="shared" si="13"/>
        <v>142651.28179754334</v>
      </c>
      <c r="I114" s="344">
        <f t="shared" si="14"/>
        <v>142651.28179754334</v>
      </c>
      <c r="J114" s="162">
        <f t="shared" si="9"/>
        <v>0</v>
      </c>
      <c r="K114" s="162"/>
      <c r="L114" s="335"/>
      <c r="M114" s="162">
        <f t="shared" si="10"/>
        <v>0</v>
      </c>
      <c r="N114" s="335"/>
      <c r="O114" s="162">
        <f t="shared" si="11"/>
        <v>0</v>
      </c>
      <c r="P114" s="162">
        <f t="shared" si="12"/>
        <v>0</v>
      </c>
    </row>
    <row r="115" spans="2:16">
      <c r="B115" s="9" t="str">
        <f t="shared" si="15"/>
        <v/>
      </c>
      <c r="C115" s="157">
        <f>IF(D93="","-",+C114+1)</f>
        <v>2033</v>
      </c>
      <c r="D115" s="158">
        <f>IF(F114+SUM(E$99:E114)=D$92,F114,D$92-SUM(E$99:E114))</f>
        <v>880527</v>
      </c>
      <c r="E115" s="164">
        <f t="shared" si="16"/>
        <v>29108</v>
      </c>
      <c r="F115" s="163">
        <f t="shared" si="17"/>
        <v>851419</v>
      </c>
      <c r="G115" s="163">
        <f t="shared" si="18"/>
        <v>865973</v>
      </c>
      <c r="H115" s="333">
        <f t="shared" si="13"/>
        <v>138958.85860169528</v>
      </c>
      <c r="I115" s="344">
        <f t="shared" si="14"/>
        <v>138958.85860169528</v>
      </c>
      <c r="J115" s="162">
        <f t="shared" si="9"/>
        <v>0</v>
      </c>
      <c r="K115" s="162"/>
      <c r="L115" s="335"/>
      <c r="M115" s="162">
        <f t="shared" si="10"/>
        <v>0</v>
      </c>
      <c r="N115" s="335"/>
      <c r="O115" s="162">
        <f t="shared" si="11"/>
        <v>0</v>
      </c>
      <c r="P115" s="162">
        <f t="shared" si="12"/>
        <v>0</v>
      </c>
    </row>
    <row r="116" spans="2:16">
      <c r="B116" s="9" t="str">
        <f t="shared" si="15"/>
        <v/>
      </c>
      <c r="C116" s="157">
        <f>IF(D93="","-",+C115+1)</f>
        <v>2034</v>
      </c>
      <c r="D116" s="158">
        <f>IF(F115+SUM(E$99:E115)=D$92,F115,D$92-SUM(E$99:E115))</f>
        <v>851419</v>
      </c>
      <c r="E116" s="164">
        <f t="shared" si="16"/>
        <v>29108</v>
      </c>
      <c r="F116" s="163">
        <f t="shared" si="17"/>
        <v>822311</v>
      </c>
      <c r="G116" s="163">
        <f t="shared" si="18"/>
        <v>836865</v>
      </c>
      <c r="H116" s="333">
        <f t="shared" si="13"/>
        <v>135266.43540584718</v>
      </c>
      <c r="I116" s="344">
        <f t="shared" si="14"/>
        <v>135266.43540584718</v>
      </c>
      <c r="J116" s="162">
        <f t="shared" si="9"/>
        <v>0</v>
      </c>
      <c r="K116" s="162"/>
      <c r="L116" s="335"/>
      <c r="M116" s="162">
        <f t="shared" si="10"/>
        <v>0</v>
      </c>
      <c r="N116" s="335"/>
      <c r="O116" s="162">
        <f t="shared" si="11"/>
        <v>0</v>
      </c>
      <c r="P116" s="162">
        <f t="shared" si="12"/>
        <v>0</v>
      </c>
    </row>
    <row r="117" spans="2:16">
      <c r="B117" s="9" t="str">
        <f t="shared" si="15"/>
        <v/>
      </c>
      <c r="C117" s="157">
        <f>IF(D93="","-",+C116+1)</f>
        <v>2035</v>
      </c>
      <c r="D117" s="158">
        <f>IF(F116+SUM(E$99:E116)=D$92,F116,D$92-SUM(E$99:E116))</f>
        <v>822311</v>
      </c>
      <c r="E117" s="164">
        <f t="shared" si="16"/>
        <v>29108</v>
      </c>
      <c r="F117" s="163">
        <f t="shared" si="17"/>
        <v>793203</v>
      </c>
      <c r="G117" s="163">
        <f t="shared" si="18"/>
        <v>807757</v>
      </c>
      <c r="H117" s="333">
        <f t="shared" si="13"/>
        <v>131574.01220999908</v>
      </c>
      <c r="I117" s="344">
        <f t="shared" si="14"/>
        <v>131574.01220999908</v>
      </c>
      <c r="J117" s="162">
        <f t="shared" si="9"/>
        <v>0</v>
      </c>
      <c r="K117" s="162"/>
      <c r="L117" s="335"/>
      <c r="M117" s="162">
        <f t="shared" si="10"/>
        <v>0</v>
      </c>
      <c r="N117" s="335"/>
      <c r="O117" s="162">
        <f t="shared" si="11"/>
        <v>0</v>
      </c>
      <c r="P117" s="162">
        <f t="shared" si="12"/>
        <v>0</v>
      </c>
    </row>
    <row r="118" spans="2:16">
      <c r="B118" s="9" t="str">
        <f t="shared" si="15"/>
        <v/>
      </c>
      <c r="C118" s="157">
        <f>IF(D93="","-",+C117+1)</f>
        <v>2036</v>
      </c>
      <c r="D118" s="158">
        <f>IF(F117+SUM(E$99:E117)=D$92,F117,D$92-SUM(E$99:E117))</f>
        <v>793203</v>
      </c>
      <c r="E118" s="164">
        <f t="shared" si="16"/>
        <v>29108</v>
      </c>
      <c r="F118" s="163">
        <f t="shared" si="17"/>
        <v>764095</v>
      </c>
      <c r="G118" s="163">
        <f t="shared" si="18"/>
        <v>778649</v>
      </c>
      <c r="H118" s="333">
        <f t="shared" si="13"/>
        <v>127881.58901415103</v>
      </c>
      <c r="I118" s="344">
        <f t="shared" si="14"/>
        <v>127881.58901415103</v>
      </c>
      <c r="J118" s="162">
        <f t="shared" si="9"/>
        <v>0</v>
      </c>
      <c r="K118" s="162"/>
      <c r="L118" s="335"/>
      <c r="M118" s="162">
        <f t="shared" si="10"/>
        <v>0</v>
      </c>
      <c r="N118" s="335"/>
      <c r="O118" s="162">
        <f t="shared" si="11"/>
        <v>0</v>
      </c>
      <c r="P118" s="162">
        <f t="shared" si="12"/>
        <v>0</v>
      </c>
    </row>
    <row r="119" spans="2:16">
      <c r="B119" s="9" t="str">
        <f t="shared" si="15"/>
        <v/>
      </c>
      <c r="C119" s="157">
        <f>IF(D93="","-",+C118+1)</f>
        <v>2037</v>
      </c>
      <c r="D119" s="158">
        <f>IF(F118+SUM(E$99:E118)=D$92,F118,D$92-SUM(E$99:E118))</f>
        <v>764095</v>
      </c>
      <c r="E119" s="164">
        <f t="shared" si="16"/>
        <v>29108</v>
      </c>
      <c r="F119" s="163">
        <f t="shared" si="17"/>
        <v>734987</v>
      </c>
      <c r="G119" s="163">
        <f t="shared" si="18"/>
        <v>749541</v>
      </c>
      <c r="H119" s="333">
        <f t="shared" si="13"/>
        <v>124189.16581830295</v>
      </c>
      <c r="I119" s="344">
        <f t="shared" si="14"/>
        <v>124189.16581830295</v>
      </c>
      <c r="J119" s="162">
        <f t="shared" si="9"/>
        <v>0</v>
      </c>
      <c r="K119" s="162"/>
      <c r="L119" s="335"/>
      <c r="M119" s="162">
        <f t="shared" si="10"/>
        <v>0</v>
      </c>
      <c r="N119" s="335"/>
      <c r="O119" s="162">
        <f t="shared" si="11"/>
        <v>0</v>
      </c>
      <c r="P119" s="162">
        <f t="shared" si="12"/>
        <v>0</v>
      </c>
    </row>
    <row r="120" spans="2:16">
      <c r="B120" s="9" t="str">
        <f t="shared" si="15"/>
        <v/>
      </c>
      <c r="C120" s="157">
        <f>IF(D93="","-",+C119+1)</f>
        <v>2038</v>
      </c>
      <c r="D120" s="158">
        <f>IF(F119+SUM(E$99:E119)=D$92,F119,D$92-SUM(E$99:E119))</f>
        <v>734987</v>
      </c>
      <c r="E120" s="164">
        <f t="shared" si="16"/>
        <v>29108</v>
      </c>
      <c r="F120" s="163">
        <f t="shared" si="17"/>
        <v>705879</v>
      </c>
      <c r="G120" s="163">
        <f t="shared" si="18"/>
        <v>720433</v>
      </c>
      <c r="H120" s="333">
        <f t="shared" si="13"/>
        <v>120496.74262245488</v>
      </c>
      <c r="I120" s="344">
        <f t="shared" si="14"/>
        <v>120496.74262245488</v>
      </c>
      <c r="J120" s="162">
        <f t="shared" si="9"/>
        <v>0</v>
      </c>
      <c r="K120" s="162"/>
      <c r="L120" s="335"/>
      <c r="M120" s="162">
        <f t="shared" si="10"/>
        <v>0</v>
      </c>
      <c r="N120" s="335"/>
      <c r="O120" s="162">
        <f t="shared" si="11"/>
        <v>0</v>
      </c>
      <c r="P120" s="162">
        <f t="shared" si="12"/>
        <v>0</v>
      </c>
    </row>
    <row r="121" spans="2:16">
      <c r="B121" s="9" t="str">
        <f t="shared" si="15"/>
        <v/>
      </c>
      <c r="C121" s="157">
        <f>IF(D93="","-",+C120+1)</f>
        <v>2039</v>
      </c>
      <c r="D121" s="158">
        <f>IF(F120+SUM(E$99:E120)=D$92,F120,D$92-SUM(E$99:E120))</f>
        <v>705879</v>
      </c>
      <c r="E121" s="164">
        <f t="shared" si="16"/>
        <v>29108</v>
      </c>
      <c r="F121" s="163">
        <f t="shared" si="17"/>
        <v>676771</v>
      </c>
      <c r="G121" s="163">
        <f t="shared" si="18"/>
        <v>691325</v>
      </c>
      <c r="H121" s="333">
        <f t="shared" si="13"/>
        <v>116804.3194266068</v>
      </c>
      <c r="I121" s="344">
        <f t="shared" si="14"/>
        <v>116804.3194266068</v>
      </c>
      <c r="J121" s="162">
        <f t="shared" si="9"/>
        <v>0</v>
      </c>
      <c r="K121" s="162"/>
      <c r="L121" s="335"/>
      <c r="M121" s="162">
        <f t="shared" si="10"/>
        <v>0</v>
      </c>
      <c r="N121" s="335"/>
      <c r="O121" s="162">
        <f t="shared" si="11"/>
        <v>0</v>
      </c>
      <c r="P121" s="162">
        <f t="shared" si="12"/>
        <v>0</v>
      </c>
    </row>
    <row r="122" spans="2:16">
      <c r="B122" s="9" t="str">
        <f t="shared" si="15"/>
        <v/>
      </c>
      <c r="C122" s="157">
        <f>IF(D93="","-",+C121+1)</f>
        <v>2040</v>
      </c>
      <c r="D122" s="158">
        <f>IF(F121+SUM(E$99:E121)=D$92,F121,D$92-SUM(E$99:E121))</f>
        <v>676771</v>
      </c>
      <c r="E122" s="164">
        <f t="shared" si="16"/>
        <v>29108</v>
      </c>
      <c r="F122" s="163">
        <f t="shared" si="17"/>
        <v>647663</v>
      </c>
      <c r="G122" s="163">
        <f t="shared" si="18"/>
        <v>662217</v>
      </c>
      <c r="H122" s="333">
        <f t="shared" si="13"/>
        <v>113111.89623075872</v>
      </c>
      <c r="I122" s="344">
        <f t="shared" si="14"/>
        <v>113111.89623075872</v>
      </c>
      <c r="J122" s="162">
        <f t="shared" si="9"/>
        <v>0</v>
      </c>
      <c r="K122" s="162"/>
      <c r="L122" s="335"/>
      <c r="M122" s="162">
        <f t="shared" si="10"/>
        <v>0</v>
      </c>
      <c r="N122" s="335"/>
      <c r="O122" s="162">
        <f t="shared" si="11"/>
        <v>0</v>
      </c>
      <c r="P122" s="162">
        <f t="shared" si="12"/>
        <v>0</v>
      </c>
    </row>
    <row r="123" spans="2:16">
      <c r="B123" s="9" t="str">
        <f t="shared" si="15"/>
        <v/>
      </c>
      <c r="C123" s="157">
        <f>IF(D93="","-",+C122+1)</f>
        <v>2041</v>
      </c>
      <c r="D123" s="158">
        <f>IF(F122+SUM(E$99:E122)=D$92,F122,D$92-SUM(E$99:E122))</f>
        <v>647663</v>
      </c>
      <c r="E123" s="164">
        <f t="shared" si="16"/>
        <v>29108</v>
      </c>
      <c r="F123" s="163">
        <f t="shared" si="17"/>
        <v>618555</v>
      </c>
      <c r="G123" s="163">
        <f t="shared" si="18"/>
        <v>633109</v>
      </c>
      <c r="H123" s="333">
        <f t="shared" si="13"/>
        <v>109419.47303491065</v>
      </c>
      <c r="I123" s="344">
        <f t="shared" si="14"/>
        <v>109419.47303491065</v>
      </c>
      <c r="J123" s="162">
        <f t="shared" si="9"/>
        <v>0</v>
      </c>
      <c r="K123" s="162"/>
      <c r="L123" s="335"/>
      <c r="M123" s="162">
        <f t="shared" si="10"/>
        <v>0</v>
      </c>
      <c r="N123" s="335"/>
      <c r="O123" s="162">
        <f t="shared" si="11"/>
        <v>0</v>
      </c>
      <c r="P123" s="162">
        <f t="shared" si="12"/>
        <v>0</v>
      </c>
    </row>
    <row r="124" spans="2:16">
      <c r="B124" s="9" t="str">
        <f t="shared" si="15"/>
        <v/>
      </c>
      <c r="C124" s="157">
        <f>IF(D93="","-",+C123+1)</f>
        <v>2042</v>
      </c>
      <c r="D124" s="158">
        <f>IF(F123+SUM(E$99:E123)=D$92,F123,D$92-SUM(E$99:E123))</f>
        <v>618555</v>
      </c>
      <c r="E124" s="164">
        <f t="shared" si="16"/>
        <v>29108</v>
      </c>
      <c r="F124" s="163">
        <f t="shared" si="17"/>
        <v>589447</v>
      </c>
      <c r="G124" s="163">
        <f t="shared" si="18"/>
        <v>604001</v>
      </c>
      <c r="H124" s="333">
        <f t="shared" si="13"/>
        <v>105727.04983906257</v>
      </c>
      <c r="I124" s="344">
        <f t="shared" si="14"/>
        <v>105727.04983906257</v>
      </c>
      <c r="J124" s="162">
        <f t="shared" si="9"/>
        <v>0</v>
      </c>
      <c r="K124" s="162"/>
      <c r="L124" s="335"/>
      <c r="M124" s="162">
        <f t="shared" si="10"/>
        <v>0</v>
      </c>
      <c r="N124" s="335"/>
      <c r="O124" s="162">
        <f t="shared" si="11"/>
        <v>0</v>
      </c>
      <c r="P124" s="162">
        <f t="shared" si="12"/>
        <v>0</v>
      </c>
    </row>
    <row r="125" spans="2:16">
      <c r="B125" s="9" t="str">
        <f t="shared" si="15"/>
        <v/>
      </c>
      <c r="C125" s="157">
        <f>IF(D93="","-",+C124+1)</f>
        <v>2043</v>
      </c>
      <c r="D125" s="158">
        <f>IF(F124+SUM(E$99:E124)=D$92,F124,D$92-SUM(E$99:E124))</f>
        <v>589447</v>
      </c>
      <c r="E125" s="164">
        <f t="shared" si="16"/>
        <v>29108</v>
      </c>
      <c r="F125" s="163">
        <f t="shared" si="17"/>
        <v>560339</v>
      </c>
      <c r="G125" s="163">
        <f t="shared" si="18"/>
        <v>574893</v>
      </c>
      <c r="H125" s="333">
        <f t="shared" si="13"/>
        <v>102034.62664321451</v>
      </c>
      <c r="I125" s="344">
        <f t="shared" si="14"/>
        <v>102034.62664321451</v>
      </c>
      <c r="J125" s="162">
        <f t="shared" si="9"/>
        <v>0</v>
      </c>
      <c r="K125" s="162"/>
      <c r="L125" s="335"/>
      <c r="M125" s="162">
        <f t="shared" si="10"/>
        <v>0</v>
      </c>
      <c r="N125" s="335"/>
      <c r="O125" s="162">
        <f t="shared" si="11"/>
        <v>0</v>
      </c>
      <c r="P125" s="162">
        <f t="shared" si="12"/>
        <v>0</v>
      </c>
    </row>
    <row r="126" spans="2:16">
      <c r="B126" s="9" t="str">
        <f t="shared" si="15"/>
        <v/>
      </c>
      <c r="C126" s="157">
        <f>IF(D93="","-",+C125+1)</f>
        <v>2044</v>
      </c>
      <c r="D126" s="158">
        <f>IF(F125+SUM(E$99:E125)=D$92,F125,D$92-SUM(E$99:E125))</f>
        <v>560339</v>
      </c>
      <c r="E126" s="164">
        <f t="shared" si="16"/>
        <v>29108</v>
      </c>
      <c r="F126" s="163">
        <f t="shared" si="17"/>
        <v>531231</v>
      </c>
      <c r="G126" s="163">
        <f t="shared" si="18"/>
        <v>545785</v>
      </c>
      <c r="H126" s="333">
        <f t="shared" si="13"/>
        <v>98342.203447366424</v>
      </c>
      <c r="I126" s="344">
        <f t="shared" si="14"/>
        <v>98342.203447366424</v>
      </c>
      <c r="J126" s="162">
        <f t="shared" si="9"/>
        <v>0</v>
      </c>
      <c r="K126" s="162"/>
      <c r="L126" s="335"/>
      <c r="M126" s="162">
        <f t="shared" si="10"/>
        <v>0</v>
      </c>
      <c r="N126" s="335"/>
      <c r="O126" s="162">
        <f t="shared" si="11"/>
        <v>0</v>
      </c>
      <c r="P126" s="162">
        <f t="shared" si="12"/>
        <v>0</v>
      </c>
    </row>
    <row r="127" spans="2:16">
      <c r="B127" s="9" t="str">
        <f t="shared" si="15"/>
        <v/>
      </c>
      <c r="C127" s="157">
        <f>IF(D93="","-",+C126+1)</f>
        <v>2045</v>
      </c>
      <c r="D127" s="158">
        <f>IF(F126+SUM(E$99:E126)=D$92,F126,D$92-SUM(E$99:E126))</f>
        <v>531231</v>
      </c>
      <c r="E127" s="164">
        <f t="shared" si="16"/>
        <v>29108</v>
      </c>
      <c r="F127" s="163">
        <f t="shared" si="17"/>
        <v>502123</v>
      </c>
      <c r="G127" s="163">
        <f t="shared" si="18"/>
        <v>516677</v>
      </c>
      <c r="H127" s="333">
        <f t="shared" si="13"/>
        <v>94649.780251518343</v>
      </c>
      <c r="I127" s="344">
        <f t="shared" si="14"/>
        <v>94649.780251518343</v>
      </c>
      <c r="J127" s="162">
        <f t="shared" si="9"/>
        <v>0</v>
      </c>
      <c r="K127" s="162"/>
      <c r="L127" s="335"/>
      <c r="M127" s="162">
        <f t="shared" si="10"/>
        <v>0</v>
      </c>
      <c r="N127" s="335"/>
      <c r="O127" s="162">
        <f t="shared" si="11"/>
        <v>0</v>
      </c>
      <c r="P127" s="162">
        <f t="shared" si="12"/>
        <v>0</v>
      </c>
    </row>
    <row r="128" spans="2:16">
      <c r="B128" s="9" t="str">
        <f t="shared" si="15"/>
        <v/>
      </c>
      <c r="C128" s="157">
        <f>IF(D93="","-",+C127+1)</f>
        <v>2046</v>
      </c>
      <c r="D128" s="158">
        <f>IF(F127+SUM(E$99:E127)=D$92,F127,D$92-SUM(E$99:E127))</f>
        <v>502123</v>
      </c>
      <c r="E128" s="164">
        <f t="shared" si="16"/>
        <v>29108</v>
      </c>
      <c r="F128" s="163">
        <f t="shared" si="17"/>
        <v>473015</v>
      </c>
      <c r="G128" s="163">
        <f t="shared" si="18"/>
        <v>487569</v>
      </c>
      <c r="H128" s="333">
        <f t="shared" si="13"/>
        <v>90957.357055670276</v>
      </c>
      <c r="I128" s="344">
        <f t="shared" si="14"/>
        <v>90957.357055670276</v>
      </c>
      <c r="J128" s="162">
        <f t="shared" si="9"/>
        <v>0</v>
      </c>
      <c r="K128" s="162"/>
      <c r="L128" s="335"/>
      <c r="M128" s="162">
        <f t="shared" si="10"/>
        <v>0</v>
      </c>
      <c r="N128" s="335"/>
      <c r="O128" s="162">
        <f t="shared" si="11"/>
        <v>0</v>
      </c>
      <c r="P128" s="162">
        <f t="shared" si="12"/>
        <v>0</v>
      </c>
    </row>
    <row r="129" spans="2:16">
      <c r="B129" s="9" t="str">
        <f t="shared" si="15"/>
        <v/>
      </c>
      <c r="C129" s="157">
        <f>IF(D93="","-",+C128+1)</f>
        <v>2047</v>
      </c>
      <c r="D129" s="158">
        <f>IF(F128+SUM(E$99:E128)=D$92,F128,D$92-SUM(E$99:E128))</f>
        <v>473015</v>
      </c>
      <c r="E129" s="164">
        <f t="shared" si="16"/>
        <v>29108</v>
      </c>
      <c r="F129" s="163">
        <f t="shared" si="17"/>
        <v>443907</v>
      </c>
      <c r="G129" s="163">
        <f t="shared" si="18"/>
        <v>458461</v>
      </c>
      <c r="H129" s="333">
        <f t="shared" si="13"/>
        <v>87264.933859822195</v>
      </c>
      <c r="I129" s="344">
        <f t="shared" si="14"/>
        <v>87264.933859822195</v>
      </c>
      <c r="J129" s="162">
        <f t="shared" si="9"/>
        <v>0</v>
      </c>
      <c r="K129" s="162"/>
      <c r="L129" s="335"/>
      <c r="M129" s="162">
        <f t="shared" si="10"/>
        <v>0</v>
      </c>
      <c r="N129" s="335"/>
      <c r="O129" s="162">
        <f t="shared" si="11"/>
        <v>0</v>
      </c>
      <c r="P129" s="162">
        <f t="shared" si="12"/>
        <v>0</v>
      </c>
    </row>
    <row r="130" spans="2:16">
      <c r="B130" s="9" t="str">
        <f t="shared" si="15"/>
        <v/>
      </c>
      <c r="C130" s="157">
        <f>IF(D93="","-",+C129+1)</f>
        <v>2048</v>
      </c>
      <c r="D130" s="158">
        <f>IF(F129+SUM(E$99:E129)=D$92,F129,D$92-SUM(E$99:E129))</f>
        <v>443907</v>
      </c>
      <c r="E130" s="164">
        <f t="shared" si="16"/>
        <v>29108</v>
      </c>
      <c r="F130" s="163">
        <f t="shared" si="17"/>
        <v>414799</v>
      </c>
      <c r="G130" s="163">
        <f t="shared" si="18"/>
        <v>429353</v>
      </c>
      <c r="H130" s="333">
        <f t="shared" si="13"/>
        <v>83572.510663974128</v>
      </c>
      <c r="I130" s="344">
        <f t="shared" si="14"/>
        <v>83572.510663974128</v>
      </c>
      <c r="J130" s="162">
        <f t="shared" si="9"/>
        <v>0</v>
      </c>
      <c r="K130" s="162"/>
      <c r="L130" s="335"/>
      <c r="M130" s="162">
        <f t="shared" si="10"/>
        <v>0</v>
      </c>
      <c r="N130" s="335"/>
      <c r="O130" s="162">
        <f t="shared" si="11"/>
        <v>0</v>
      </c>
      <c r="P130" s="162">
        <f t="shared" si="12"/>
        <v>0</v>
      </c>
    </row>
    <row r="131" spans="2:16">
      <c r="B131" s="9" t="str">
        <f t="shared" si="15"/>
        <v/>
      </c>
      <c r="C131" s="157">
        <f>IF(D93="","-",+C130+1)</f>
        <v>2049</v>
      </c>
      <c r="D131" s="158">
        <f>IF(F130+SUM(E$99:E130)=D$92,F130,D$92-SUM(E$99:E130))</f>
        <v>414799</v>
      </c>
      <c r="E131" s="164">
        <f t="shared" si="16"/>
        <v>29108</v>
      </c>
      <c r="F131" s="163">
        <f t="shared" si="17"/>
        <v>385691</v>
      </c>
      <c r="G131" s="163">
        <f t="shared" si="18"/>
        <v>400245</v>
      </c>
      <c r="H131" s="333">
        <f t="shared" si="13"/>
        <v>79880.087468126047</v>
      </c>
      <c r="I131" s="344">
        <f t="shared" si="14"/>
        <v>79880.087468126047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2050</v>
      </c>
      <c r="D132" s="158">
        <f>IF(F131+SUM(E$99:E131)=D$92,F131,D$92-SUM(E$99:E131))</f>
        <v>385691</v>
      </c>
      <c r="E132" s="164">
        <f t="shared" si="16"/>
        <v>29108</v>
      </c>
      <c r="F132" s="163">
        <f t="shared" si="17"/>
        <v>356583</v>
      </c>
      <c r="G132" s="163">
        <f t="shared" si="18"/>
        <v>371137</v>
      </c>
      <c r="H132" s="333">
        <f t="shared" si="13"/>
        <v>76187.664272277965</v>
      </c>
      <c r="I132" s="344">
        <f t="shared" si="14"/>
        <v>76187.664272277965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2051</v>
      </c>
      <c r="D133" s="158">
        <f>IF(F132+SUM(E$99:E132)=D$92,F132,D$92-SUM(E$99:E132))</f>
        <v>356583</v>
      </c>
      <c r="E133" s="164">
        <f t="shared" si="16"/>
        <v>29108</v>
      </c>
      <c r="F133" s="163">
        <f t="shared" si="17"/>
        <v>327475</v>
      </c>
      <c r="G133" s="163">
        <f t="shared" si="18"/>
        <v>342029</v>
      </c>
      <c r="H133" s="333">
        <f t="shared" si="13"/>
        <v>72495.241076429898</v>
      </c>
      <c r="I133" s="344">
        <f t="shared" si="14"/>
        <v>72495.241076429898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2052</v>
      </c>
      <c r="D134" s="158">
        <f>IF(F133+SUM(E$99:E133)=D$92,F133,D$92-SUM(E$99:E133))</f>
        <v>327475</v>
      </c>
      <c r="E134" s="164">
        <f t="shared" si="16"/>
        <v>29108</v>
      </c>
      <c r="F134" s="163">
        <f t="shared" si="17"/>
        <v>298367</v>
      </c>
      <c r="G134" s="163">
        <f t="shared" si="18"/>
        <v>312921</v>
      </c>
      <c r="H134" s="333">
        <f t="shared" si="13"/>
        <v>68802.817880581832</v>
      </c>
      <c r="I134" s="344">
        <f t="shared" si="14"/>
        <v>68802.817880581832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2053</v>
      </c>
      <c r="D135" s="158">
        <f>IF(F134+SUM(E$99:E134)=D$92,F134,D$92-SUM(E$99:E134))</f>
        <v>298367</v>
      </c>
      <c r="E135" s="164">
        <f t="shared" si="16"/>
        <v>29108</v>
      </c>
      <c r="F135" s="163">
        <f t="shared" si="17"/>
        <v>269259</v>
      </c>
      <c r="G135" s="163">
        <f t="shared" si="18"/>
        <v>283813</v>
      </c>
      <c r="H135" s="333">
        <f t="shared" si="13"/>
        <v>65110.394684733743</v>
      </c>
      <c r="I135" s="344">
        <f t="shared" si="14"/>
        <v>65110.394684733743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2054</v>
      </c>
      <c r="D136" s="158">
        <f>IF(F135+SUM(E$99:E135)=D$92,F135,D$92-SUM(E$99:E135))</f>
        <v>269259</v>
      </c>
      <c r="E136" s="164">
        <f t="shared" si="16"/>
        <v>29108</v>
      </c>
      <c r="F136" s="163">
        <f t="shared" si="17"/>
        <v>240151</v>
      </c>
      <c r="G136" s="163">
        <f t="shared" si="18"/>
        <v>254705</v>
      </c>
      <c r="H136" s="333">
        <f t="shared" si="13"/>
        <v>61417.971488885669</v>
      </c>
      <c r="I136" s="344">
        <f t="shared" si="14"/>
        <v>61417.971488885669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2055</v>
      </c>
      <c r="D137" s="158">
        <f>IF(F136+SUM(E$99:E136)=D$92,F136,D$92-SUM(E$99:E136))</f>
        <v>240151</v>
      </c>
      <c r="E137" s="164">
        <f t="shared" si="16"/>
        <v>29108</v>
      </c>
      <c r="F137" s="163">
        <f t="shared" si="17"/>
        <v>211043</v>
      </c>
      <c r="G137" s="163">
        <f t="shared" si="18"/>
        <v>225597</v>
      </c>
      <c r="H137" s="333">
        <f t="shared" si="13"/>
        <v>57725.548293037595</v>
      </c>
      <c r="I137" s="344">
        <f t="shared" si="14"/>
        <v>57725.548293037595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2056</v>
      </c>
      <c r="D138" s="158">
        <f>IF(F137+SUM(E$99:E137)=D$92,F137,D$92-SUM(E$99:E137))</f>
        <v>211043</v>
      </c>
      <c r="E138" s="164">
        <f t="shared" si="16"/>
        <v>29108</v>
      </c>
      <c r="F138" s="163">
        <f t="shared" si="17"/>
        <v>181935</v>
      </c>
      <c r="G138" s="163">
        <f t="shared" si="18"/>
        <v>196489</v>
      </c>
      <c r="H138" s="333">
        <f t="shared" si="13"/>
        <v>54033.125097189521</v>
      </c>
      <c r="I138" s="344">
        <f t="shared" si="14"/>
        <v>54033.125097189521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2057</v>
      </c>
      <c r="D139" s="158">
        <f>IF(F138+SUM(E$99:E138)=D$92,F138,D$92-SUM(E$99:E138))</f>
        <v>181935</v>
      </c>
      <c r="E139" s="164">
        <f t="shared" si="16"/>
        <v>29108</v>
      </c>
      <c r="F139" s="163">
        <f t="shared" si="17"/>
        <v>152827</v>
      </c>
      <c r="G139" s="163">
        <f t="shared" si="18"/>
        <v>167381</v>
      </c>
      <c r="H139" s="333">
        <f t="shared" si="13"/>
        <v>50340.701901341439</v>
      </c>
      <c r="I139" s="344">
        <f t="shared" si="14"/>
        <v>50340.701901341439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2058</v>
      </c>
      <c r="D140" s="158">
        <f>IF(F139+SUM(E$99:E139)=D$92,F139,D$92-SUM(E$99:E139))</f>
        <v>152827</v>
      </c>
      <c r="E140" s="164">
        <f t="shared" si="16"/>
        <v>29108</v>
      </c>
      <c r="F140" s="163">
        <f t="shared" si="17"/>
        <v>123719</v>
      </c>
      <c r="G140" s="163">
        <f t="shared" si="18"/>
        <v>138273</v>
      </c>
      <c r="H140" s="333">
        <f t="shared" si="13"/>
        <v>46648.278705493372</v>
      </c>
      <c r="I140" s="344">
        <f t="shared" si="14"/>
        <v>46648.278705493372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2059</v>
      </c>
      <c r="D141" s="158">
        <f>IF(F140+SUM(E$99:E140)=D$92,F140,D$92-SUM(E$99:E140))</f>
        <v>123719</v>
      </c>
      <c r="E141" s="164">
        <f t="shared" si="16"/>
        <v>29108</v>
      </c>
      <c r="F141" s="163">
        <f t="shared" si="17"/>
        <v>94611</v>
      </c>
      <c r="G141" s="163">
        <f t="shared" si="18"/>
        <v>109165</v>
      </c>
      <c r="H141" s="333">
        <f t="shared" si="13"/>
        <v>42955.855509645291</v>
      </c>
      <c r="I141" s="344">
        <f t="shared" si="14"/>
        <v>42955.855509645291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2060</v>
      </c>
      <c r="D142" s="158">
        <f>IF(F141+SUM(E$99:E141)=D$92,F141,D$92-SUM(E$99:E141))</f>
        <v>94611</v>
      </c>
      <c r="E142" s="164">
        <f t="shared" si="16"/>
        <v>29108</v>
      </c>
      <c r="F142" s="163">
        <f t="shared" si="17"/>
        <v>65503</v>
      </c>
      <c r="G142" s="163">
        <f t="shared" si="18"/>
        <v>80057</v>
      </c>
      <c r="H142" s="333">
        <f t="shared" si="13"/>
        <v>39263.432313797217</v>
      </c>
      <c r="I142" s="344">
        <f t="shared" si="14"/>
        <v>39263.432313797217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2061</v>
      </c>
      <c r="D143" s="158">
        <f>IF(F142+SUM(E$99:E142)=D$92,F142,D$92-SUM(E$99:E142))</f>
        <v>65503</v>
      </c>
      <c r="E143" s="164">
        <f t="shared" si="16"/>
        <v>29108</v>
      </c>
      <c r="F143" s="163">
        <f t="shared" si="17"/>
        <v>36395</v>
      </c>
      <c r="G143" s="163">
        <f t="shared" si="18"/>
        <v>50949</v>
      </c>
      <c r="H143" s="333">
        <f t="shared" si="13"/>
        <v>35571.009117949143</v>
      </c>
      <c r="I143" s="344">
        <f t="shared" si="14"/>
        <v>35571.009117949143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2062</v>
      </c>
      <c r="D144" s="158">
        <f>IF(F143+SUM(E$99:E143)=D$92,F143,D$92-SUM(E$99:E143))</f>
        <v>36395</v>
      </c>
      <c r="E144" s="164">
        <f t="shared" si="16"/>
        <v>29108</v>
      </c>
      <c r="F144" s="163">
        <f t="shared" si="17"/>
        <v>7287</v>
      </c>
      <c r="G144" s="163">
        <f t="shared" si="18"/>
        <v>21841</v>
      </c>
      <c r="H144" s="333">
        <f t="shared" si="13"/>
        <v>31878.585922101065</v>
      </c>
      <c r="I144" s="344">
        <f t="shared" si="14"/>
        <v>31878.585922101065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2063</v>
      </c>
      <c r="D145" s="158">
        <f>IF(F144+SUM(E$99:E144)=D$92,F144,D$92-SUM(E$99:E144))</f>
        <v>7287</v>
      </c>
      <c r="E145" s="164">
        <f t="shared" si="16"/>
        <v>7287</v>
      </c>
      <c r="F145" s="163">
        <f t="shared" si="17"/>
        <v>0</v>
      </c>
      <c r="G145" s="163">
        <f t="shared" si="18"/>
        <v>3643.5</v>
      </c>
      <c r="H145" s="333">
        <f t="shared" si="13"/>
        <v>7749.187162088514</v>
      </c>
      <c r="I145" s="344">
        <f t="shared" si="14"/>
        <v>7749.187162088514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2064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13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2065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13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2066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13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2067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13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2068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13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2069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13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2070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13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2071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13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2072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13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1338978</v>
      </c>
      <c r="F155" s="115"/>
      <c r="G155" s="115"/>
      <c r="H155" s="115">
        <f>SUM(H99:H154)</f>
        <v>5203157.2266149018</v>
      </c>
      <c r="I155" s="115">
        <f>SUM(I99:I154)</f>
        <v>5203157.2266149018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9" priority="1" stopIfTrue="1" operator="equal">
      <formula>$I$10</formula>
    </cfRule>
  </conditionalFormatting>
  <conditionalFormatting sqref="C99:C154">
    <cfRule type="cellIs" dxfId="18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P162"/>
  <sheetViews>
    <sheetView view="pageBreakPreview" topLeftCell="A64" zoomScale="78" zoomScaleNormal="100" zoomScaleSheetLayoutView="78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20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156997.50222910754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156997.50222910754</v>
      </c>
      <c r="O6" s="1"/>
      <c r="P6" s="1"/>
    </row>
    <row r="7" spans="1:16" ht="13.5" thickBot="1">
      <c r="C7" s="127" t="s">
        <v>41</v>
      </c>
      <c r="D7" s="227" t="s">
        <v>273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295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1140000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28500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v>2017</v>
      </c>
      <c r="D17" s="466">
        <v>0</v>
      </c>
      <c r="E17" s="466">
        <v>0</v>
      </c>
      <c r="F17" s="467">
        <v>483000</v>
      </c>
      <c r="G17" s="469">
        <v>30733.448109554683</v>
      </c>
      <c r="H17" s="468">
        <v>30733.448109554683</v>
      </c>
      <c r="I17" s="160">
        <f t="shared" ref="I17:I72" si="0">H17-G17</f>
        <v>0</v>
      </c>
      <c r="J17" s="160"/>
      <c r="K17" s="337">
        <f>+G17</f>
        <v>30733.448109554683</v>
      </c>
      <c r="L17" s="161">
        <f t="shared" ref="L17:L72" si="1">IF(K17&lt;&gt;0,+G17-K17,0)</f>
        <v>0</v>
      </c>
      <c r="M17" s="337">
        <f>+H17</f>
        <v>30733.448109554683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420">
        <f>+F17</f>
        <v>483000</v>
      </c>
      <c r="E18" s="421">
        <v>10555.555555555555</v>
      </c>
      <c r="F18" s="420">
        <v>1140000</v>
      </c>
      <c r="G18" s="421">
        <v>78818.151758984837</v>
      </c>
      <c r="H18" s="425">
        <v>78818.151758984837</v>
      </c>
      <c r="I18" s="160">
        <f t="shared" si="0"/>
        <v>0</v>
      </c>
      <c r="J18" s="160"/>
      <c r="K18" s="338">
        <f>G18</f>
        <v>78818.151758984837</v>
      </c>
      <c r="L18" s="440">
        <f>IF(K18&lt;&gt;0,+G18-K18,0)</f>
        <v>0</v>
      </c>
      <c r="M18" s="338">
        <f>H18</f>
        <v>78818.151758984837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2019</v>
      </c>
      <c r="D19" s="166">
        <f>IF(F18+SUM(E$17:E18)=D$10,F18,D$10-SUM(E$17:E18))</f>
        <v>1129444.4444444445</v>
      </c>
      <c r="E19" s="164">
        <f t="shared" ref="E19:E72" si="4">IF(+I$14&lt;F18,I$14,D19)</f>
        <v>28500</v>
      </c>
      <c r="F19" s="163">
        <f t="shared" ref="F19:F72" si="5">+D19-E19</f>
        <v>1100944.4444444445</v>
      </c>
      <c r="G19" s="165">
        <f t="shared" ref="G19:G72" si="6">(D19+F19)/2*I$12+E19</f>
        <v>156997.50222910754</v>
      </c>
      <c r="H19" s="147">
        <f t="shared" ref="H19:H72" si="7">+(D19+F19)/2*I$13+E19</f>
        <v>156997.50222910754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1100944.4444444445</v>
      </c>
      <c r="E20" s="164">
        <f t="shared" si="4"/>
        <v>28500</v>
      </c>
      <c r="F20" s="163">
        <f t="shared" si="5"/>
        <v>1072444.4444444445</v>
      </c>
      <c r="G20" s="165">
        <f t="shared" si="6"/>
        <v>153713.60960233433</v>
      </c>
      <c r="H20" s="147">
        <f t="shared" si="7"/>
        <v>153713.60960233433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1072444.4444444445</v>
      </c>
      <c r="E21" s="164">
        <f t="shared" si="4"/>
        <v>28500</v>
      </c>
      <c r="F21" s="163">
        <f t="shared" si="5"/>
        <v>1043944.4444444445</v>
      </c>
      <c r="G21" s="165">
        <f t="shared" si="6"/>
        <v>150429.71697556111</v>
      </c>
      <c r="H21" s="147">
        <f t="shared" si="7"/>
        <v>150429.71697556111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1043944.4444444445</v>
      </c>
      <c r="E22" s="164">
        <f t="shared" si="4"/>
        <v>28500</v>
      </c>
      <c r="F22" s="163">
        <f t="shared" si="5"/>
        <v>1015444.4444444445</v>
      </c>
      <c r="G22" s="165">
        <f t="shared" si="6"/>
        <v>147145.82434878789</v>
      </c>
      <c r="H22" s="147">
        <f t="shared" si="7"/>
        <v>147145.82434878789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1015444.4444444445</v>
      </c>
      <c r="E23" s="164">
        <f t="shared" si="4"/>
        <v>28500</v>
      </c>
      <c r="F23" s="163">
        <f t="shared" si="5"/>
        <v>986944.4444444445</v>
      </c>
      <c r="G23" s="165">
        <f t="shared" si="6"/>
        <v>143861.93172201468</v>
      </c>
      <c r="H23" s="147">
        <f t="shared" si="7"/>
        <v>143861.93172201468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986944.4444444445</v>
      </c>
      <c r="E24" s="164">
        <f t="shared" si="4"/>
        <v>28500</v>
      </c>
      <c r="F24" s="163">
        <f t="shared" si="5"/>
        <v>958444.4444444445</v>
      </c>
      <c r="G24" s="165">
        <f t="shared" si="6"/>
        <v>140578.03909524146</v>
      </c>
      <c r="H24" s="147">
        <f t="shared" si="7"/>
        <v>140578.03909524146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958444.4444444445</v>
      </c>
      <c r="E25" s="164">
        <f t="shared" si="4"/>
        <v>28500</v>
      </c>
      <c r="F25" s="163">
        <f t="shared" si="5"/>
        <v>929944.4444444445</v>
      </c>
      <c r="G25" s="165">
        <f t="shared" si="6"/>
        <v>137294.14646846824</v>
      </c>
      <c r="H25" s="147">
        <f t="shared" si="7"/>
        <v>137294.14646846824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929944.4444444445</v>
      </c>
      <c r="E26" s="164">
        <f t="shared" si="4"/>
        <v>28500</v>
      </c>
      <c r="F26" s="163">
        <f t="shared" si="5"/>
        <v>901444.4444444445</v>
      </c>
      <c r="G26" s="165">
        <f t="shared" si="6"/>
        <v>134010.25384169503</v>
      </c>
      <c r="H26" s="147">
        <f t="shared" si="7"/>
        <v>134010.25384169503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901444.4444444445</v>
      </c>
      <c r="E27" s="164">
        <f t="shared" si="4"/>
        <v>28500</v>
      </c>
      <c r="F27" s="163">
        <f t="shared" si="5"/>
        <v>872944.4444444445</v>
      </c>
      <c r="G27" s="165">
        <f t="shared" si="6"/>
        <v>130726.3612149218</v>
      </c>
      <c r="H27" s="147">
        <f t="shared" si="7"/>
        <v>130726.3612149218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872944.4444444445</v>
      </c>
      <c r="E28" s="164">
        <f t="shared" si="4"/>
        <v>28500</v>
      </c>
      <c r="F28" s="163">
        <f t="shared" si="5"/>
        <v>844444.4444444445</v>
      </c>
      <c r="G28" s="165">
        <f t="shared" si="6"/>
        <v>127442.46858814858</v>
      </c>
      <c r="H28" s="147">
        <f t="shared" si="7"/>
        <v>127442.46858814858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844444.4444444445</v>
      </c>
      <c r="E29" s="164">
        <f t="shared" si="4"/>
        <v>28500</v>
      </c>
      <c r="F29" s="163">
        <f t="shared" si="5"/>
        <v>815944.4444444445</v>
      </c>
      <c r="G29" s="165">
        <f t="shared" si="6"/>
        <v>124158.57596137536</v>
      </c>
      <c r="H29" s="147">
        <f t="shared" si="7"/>
        <v>124158.57596137536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815944.4444444445</v>
      </c>
      <c r="E30" s="164">
        <f t="shared" si="4"/>
        <v>28500</v>
      </c>
      <c r="F30" s="163">
        <f t="shared" si="5"/>
        <v>787444.4444444445</v>
      </c>
      <c r="G30" s="165">
        <f t="shared" si="6"/>
        <v>120874.68333460214</v>
      </c>
      <c r="H30" s="147">
        <f t="shared" si="7"/>
        <v>120874.68333460214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787444.4444444445</v>
      </c>
      <c r="E31" s="164">
        <f t="shared" si="4"/>
        <v>28500</v>
      </c>
      <c r="F31" s="163">
        <f t="shared" si="5"/>
        <v>758944.4444444445</v>
      </c>
      <c r="G31" s="165">
        <f t="shared" si="6"/>
        <v>117590.79070782893</v>
      </c>
      <c r="H31" s="147">
        <f t="shared" si="7"/>
        <v>117590.79070782893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758944.4444444445</v>
      </c>
      <c r="E32" s="164">
        <f t="shared" si="4"/>
        <v>28500</v>
      </c>
      <c r="F32" s="163">
        <f t="shared" si="5"/>
        <v>730444.4444444445</v>
      </c>
      <c r="G32" s="165">
        <f t="shared" si="6"/>
        <v>114306.89808105571</v>
      </c>
      <c r="H32" s="147">
        <f t="shared" si="7"/>
        <v>114306.89808105571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730444.4444444445</v>
      </c>
      <c r="E33" s="164">
        <f t="shared" si="4"/>
        <v>28500</v>
      </c>
      <c r="F33" s="163">
        <f t="shared" si="5"/>
        <v>701944.4444444445</v>
      </c>
      <c r="G33" s="165">
        <f t="shared" si="6"/>
        <v>111023.00545428249</v>
      </c>
      <c r="H33" s="147">
        <f t="shared" si="7"/>
        <v>111023.00545428249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701944.4444444445</v>
      </c>
      <c r="E34" s="164">
        <f t="shared" si="4"/>
        <v>28500</v>
      </c>
      <c r="F34" s="163">
        <f t="shared" si="5"/>
        <v>673444.4444444445</v>
      </c>
      <c r="G34" s="165">
        <f t="shared" si="6"/>
        <v>107739.11282750928</v>
      </c>
      <c r="H34" s="147">
        <f t="shared" si="7"/>
        <v>107739.11282750928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673444.4444444445</v>
      </c>
      <c r="E35" s="164">
        <f t="shared" si="4"/>
        <v>28500</v>
      </c>
      <c r="F35" s="163">
        <f t="shared" si="5"/>
        <v>644944.4444444445</v>
      </c>
      <c r="G35" s="165">
        <f t="shared" si="6"/>
        <v>104455.22020073606</v>
      </c>
      <c r="H35" s="147">
        <f t="shared" si="7"/>
        <v>104455.22020073606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644944.4444444445</v>
      </c>
      <c r="E36" s="164">
        <f t="shared" si="4"/>
        <v>28500</v>
      </c>
      <c r="F36" s="163">
        <f t="shared" si="5"/>
        <v>616444.4444444445</v>
      </c>
      <c r="G36" s="165">
        <f t="shared" si="6"/>
        <v>101171.32757396284</v>
      </c>
      <c r="H36" s="147">
        <f t="shared" si="7"/>
        <v>101171.32757396284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616444.4444444445</v>
      </c>
      <c r="E37" s="164">
        <f t="shared" si="4"/>
        <v>28500</v>
      </c>
      <c r="F37" s="163">
        <f t="shared" si="5"/>
        <v>587944.4444444445</v>
      </c>
      <c r="G37" s="165">
        <f t="shared" si="6"/>
        <v>97887.434947189628</v>
      </c>
      <c r="H37" s="147">
        <f t="shared" si="7"/>
        <v>97887.434947189628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587944.4444444445</v>
      </c>
      <c r="E38" s="164">
        <f t="shared" si="4"/>
        <v>28500</v>
      </c>
      <c r="F38" s="163">
        <f t="shared" si="5"/>
        <v>559444.4444444445</v>
      </c>
      <c r="G38" s="165">
        <f t="shared" si="6"/>
        <v>94603.542320416411</v>
      </c>
      <c r="H38" s="147">
        <f t="shared" si="7"/>
        <v>94603.542320416411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559444.4444444445</v>
      </c>
      <c r="E39" s="164">
        <f t="shared" si="4"/>
        <v>28500</v>
      </c>
      <c r="F39" s="163">
        <f t="shared" si="5"/>
        <v>530944.4444444445</v>
      </c>
      <c r="G39" s="165">
        <f t="shared" si="6"/>
        <v>91319.649693643209</v>
      </c>
      <c r="H39" s="147">
        <f t="shared" si="7"/>
        <v>91319.649693643209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530944.4444444445</v>
      </c>
      <c r="E40" s="164">
        <f t="shared" si="4"/>
        <v>28500</v>
      </c>
      <c r="F40" s="163">
        <f t="shared" si="5"/>
        <v>502444.4444444445</v>
      </c>
      <c r="G40" s="165">
        <f t="shared" si="6"/>
        <v>88035.757066869992</v>
      </c>
      <c r="H40" s="147">
        <f t="shared" si="7"/>
        <v>88035.757066869992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502444.4444444445</v>
      </c>
      <c r="E41" s="164">
        <f t="shared" si="4"/>
        <v>28500</v>
      </c>
      <c r="F41" s="163">
        <f t="shared" si="5"/>
        <v>473944.4444444445</v>
      </c>
      <c r="G41" s="165">
        <f t="shared" si="6"/>
        <v>84751.864440096775</v>
      </c>
      <c r="H41" s="147">
        <f t="shared" si="7"/>
        <v>84751.864440096775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473944.4444444445</v>
      </c>
      <c r="E42" s="164">
        <f t="shared" si="4"/>
        <v>28500</v>
      </c>
      <c r="F42" s="163">
        <f t="shared" si="5"/>
        <v>445444.4444444445</v>
      </c>
      <c r="G42" s="165">
        <f t="shared" si="6"/>
        <v>81467.971813323558</v>
      </c>
      <c r="H42" s="147">
        <f t="shared" si="7"/>
        <v>81467.971813323558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445444.4444444445</v>
      </c>
      <c r="E43" s="164">
        <f t="shared" si="4"/>
        <v>28500</v>
      </c>
      <c r="F43" s="163">
        <f t="shared" si="5"/>
        <v>416944.4444444445</v>
      </c>
      <c r="G43" s="165">
        <f t="shared" si="6"/>
        <v>78184.079186550342</v>
      </c>
      <c r="H43" s="147">
        <f t="shared" si="7"/>
        <v>78184.079186550342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416944.4444444445</v>
      </c>
      <c r="E44" s="164">
        <f t="shared" si="4"/>
        <v>28500</v>
      </c>
      <c r="F44" s="163">
        <f t="shared" si="5"/>
        <v>388444.4444444445</v>
      </c>
      <c r="G44" s="165">
        <f t="shared" si="6"/>
        <v>74900.186559777125</v>
      </c>
      <c r="H44" s="147">
        <f t="shared" si="7"/>
        <v>74900.186559777125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388444.4444444445</v>
      </c>
      <c r="E45" s="164">
        <f t="shared" si="4"/>
        <v>28500</v>
      </c>
      <c r="F45" s="163">
        <f t="shared" si="5"/>
        <v>359944.4444444445</v>
      </c>
      <c r="G45" s="165">
        <f t="shared" si="6"/>
        <v>71616.293933003908</v>
      </c>
      <c r="H45" s="147">
        <f t="shared" si="7"/>
        <v>71616.293933003908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359944.4444444445</v>
      </c>
      <c r="E46" s="164">
        <f t="shared" si="4"/>
        <v>28500</v>
      </c>
      <c r="F46" s="163">
        <f t="shared" si="5"/>
        <v>331444.4444444445</v>
      </c>
      <c r="G46" s="165">
        <f t="shared" si="6"/>
        <v>68332.401306230691</v>
      </c>
      <c r="H46" s="147">
        <f t="shared" si="7"/>
        <v>68332.401306230691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331444.4444444445</v>
      </c>
      <c r="E47" s="164">
        <f t="shared" si="4"/>
        <v>28500</v>
      </c>
      <c r="F47" s="163">
        <f t="shared" si="5"/>
        <v>302944.4444444445</v>
      </c>
      <c r="G47" s="165">
        <f t="shared" si="6"/>
        <v>65048.508679457467</v>
      </c>
      <c r="H47" s="147">
        <f t="shared" si="7"/>
        <v>65048.508679457467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302944.4444444445</v>
      </c>
      <c r="E48" s="164">
        <f t="shared" si="4"/>
        <v>28500</v>
      </c>
      <c r="F48" s="163">
        <f t="shared" si="5"/>
        <v>274444.4444444445</v>
      </c>
      <c r="G48" s="165">
        <f t="shared" si="6"/>
        <v>61764.61605268425</v>
      </c>
      <c r="H48" s="147">
        <f t="shared" si="7"/>
        <v>61764.61605268425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274444.4444444445</v>
      </c>
      <c r="E49" s="164">
        <f t="shared" si="4"/>
        <v>28500</v>
      </c>
      <c r="F49" s="163">
        <f t="shared" si="5"/>
        <v>245944.4444444445</v>
      </c>
      <c r="G49" s="165">
        <f t="shared" si="6"/>
        <v>58480.723425911041</v>
      </c>
      <c r="H49" s="147">
        <f t="shared" si="7"/>
        <v>58480.723425911041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245944.4444444445</v>
      </c>
      <c r="E50" s="164">
        <f t="shared" si="4"/>
        <v>28500</v>
      </c>
      <c r="F50" s="163">
        <f t="shared" si="5"/>
        <v>217444.4444444445</v>
      </c>
      <c r="G50" s="165">
        <f t="shared" si="6"/>
        <v>55196.830799137824</v>
      </c>
      <c r="H50" s="147">
        <f t="shared" si="7"/>
        <v>55196.830799137824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217444.4444444445</v>
      </c>
      <c r="E51" s="164">
        <f t="shared" si="4"/>
        <v>28500</v>
      </c>
      <c r="F51" s="163">
        <f t="shared" si="5"/>
        <v>188944.4444444445</v>
      </c>
      <c r="G51" s="165">
        <f t="shared" si="6"/>
        <v>51912.938172364607</v>
      </c>
      <c r="H51" s="147">
        <f t="shared" si="7"/>
        <v>51912.938172364607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188944.4444444445</v>
      </c>
      <c r="E52" s="164">
        <f t="shared" si="4"/>
        <v>28500</v>
      </c>
      <c r="F52" s="163">
        <f t="shared" si="5"/>
        <v>160444.4444444445</v>
      </c>
      <c r="G52" s="165">
        <f t="shared" si="6"/>
        <v>48629.045545591391</v>
      </c>
      <c r="H52" s="147">
        <f t="shared" si="7"/>
        <v>48629.045545591391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160444.4444444445</v>
      </c>
      <c r="E53" s="164">
        <f t="shared" si="4"/>
        <v>28500</v>
      </c>
      <c r="F53" s="163">
        <f t="shared" si="5"/>
        <v>131944.4444444445</v>
      </c>
      <c r="G53" s="165">
        <f t="shared" si="6"/>
        <v>45345.152918818174</v>
      </c>
      <c r="H53" s="147">
        <f t="shared" si="7"/>
        <v>45345.152918818174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131944.4444444445</v>
      </c>
      <c r="E54" s="164">
        <f t="shared" si="4"/>
        <v>28500</v>
      </c>
      <c r="F54" s="163">
        <f t="shared" si="5"/>
        <v>103444.4444444445</v>
      </c>
      <c r="G54" s="165">
        <f t="shared" si="6"/>
        <v>42061.260292044957</v>
      </c>
      <c r="H54" s="147">
        <f t="shared" si="7"/>
        <v>42061.260292044957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103444.4444444445</v>
      </c>
      <c r="E55" s="164">
        <f t="shared" si="4"/>
        <v>28500</v>
      </c>
      <c r="F55" s="163">
        <f t="shared" si="5"/>
        <v>74944.444444444496</v>
      </c>
      <c r="G55" s="165">
        <f t="shared" si="6"/>
        <v>38777.36766527174</v>
      </c>
      <c r="H55" s="147">
        <f t="shared" si="7"/>
        <v>38777.36766527174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74944.444444444496</v>
      </c>
      <c r="E56" s="164">
        <f t="shared" si="4"/>
        <v>28500</v>
      </c>
      <c r="F56" s="163">
        <f t="shared" si="5"/>
        <v>46444.444444444496</v>
      </c>
      <c r="G56" s="165">
        <f t="shared" si="6"/>
        <v>35493.475038498524</v>
      </c>
      <c r="H56" s="147">
        <f t="shared" si="7"/>
        <v>35493.475038498524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46444.444444444496</v>
      </c>
      <c r="E57" s="164">
        <f t="shared" si="4"/>
        <v>28500</v>
      </c>
      <c r="F57" s="163">
        <f t="shared" si="5"/>
        <v>17944.444444444496</v>
      </c>
      <c r="G57" s="165">
        <f t="shared" si="6"/>
        <v>32209.582411725307</v>
      </c>
      <c r="H57" s="147">
        <f t="shared" si="7"/>
        <v>32209.582411725307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17944.444444444496</v>
      </c>
      <c r="E58" s="164">
        <f t="shared" si="4"/>
        <v>17944.444444444496</v>
      </c>
      <c r="F58" s="163">
        <f t="shared" si="5"/>
        <v>0</v>
      </c>
      <c r="G58" s="165">
        <f t="shared" si="6"/>
        <v>18978.262493613845</v>
      </c>
      <c r="H58" s="147">
        <f t="shared" si="7"/>
        <v>18978.262493613845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1140000</v>
      </c>
      <c r="F73" s="115"/>
      <c r="G73" s="115">
        <f>SUM(G17:G72)</f>
        <v>3818068.0128583941</v>
      </c>
      <c r="H73" s="115">
        <f>SUM(H17:H72)</f>
        <v>3818068.0128583941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20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30733.448109554683</v>
      </c>
      <c r="N87" s="202">
        <f>IF(J92&lt;D11,0,VLOOKUP(J92,C17:O72,11))</f>
        <v>30733.448109554683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72305.937255510624</v>
      </c>
      <c r="N88" s="204">
        <f>IF(J92&lt;D11,0,VLOOKUP(J92,C99:P154,7))</f>
        <v>72305.937255510624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Sayre 138 kV Capacitor Bank Addition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41572.489145955944</v>
      </c>
      <c r="N89" s="207">
        <f>+N88-N87</f>
        <v>41572.489145955944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1140000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24783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2017</v>
      </c>
      <c r="D99" s="158">
        <v>0</v>
      </c>
      <c r="E99" s="165">
        <f>IF(OR(D11=I10,D92&lt;100000),0,J$96/12*(12-D94))</f>
        <v>0</v>
      </c>
      <c r="F99" s="163">
        <f>IF(D93=C99,+D92-E99,+D99-E99)</f>
        <v>1140000</v>
      </c>
      <c r="G99" s="218">
        <f>+(F99+D99)/2</f>
        <v>570000</v>
      </c>
      <c r="H99" s="218">
        <f t="shared" ref="H99:H154" si="9">+J$94*G99+E99</f>
        <v>72305.937255510624</v>
      </c>
      <c r="I99" s="218">
        <f>+J$95*G99+E99</f>
        <v>72305.937255510624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>
        <f>IF(D93="","-",+C99+1)</f>
        <v>2018</v>
      </c>
      <c r="D100" s="158">
        <f>IF(F99+SUM(E$99:E99)=D$92,F99,D$92-SUM(E$99:E99))</f>
        <v>1140000</v>
      </c>
      <c r="E100" s="164">
        <f>IF(+J$96&lt;F99,J$96,D100)</f>
        <v>24783</v>
      </c>
      <c r="F100" s="163">
        <f>+D100-E100</f>
        <v>1115217</v>
      </c>
      <c r="G100" s="163">
        <f>+(F100+D100)/2</f>
        <v>1127608.5</v>
      </c>
      <c r="H100" s="333">
        <f t="shared" si="9"/>
        <v>167822.98149084288</v>
      </c>
      <c r="I100" s="344">
        <f t="shared" ref="I100:I154" si="14">+J$95*G100+E100</f>
        <v>167822.98149084288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2019</v>
      </c>
      <c r="D101" s="158">
        <f>IF(F100+SUM(E$99:E100)=D$92,F100,D$92-SUM(E$99:E100))</f>
        <v>1115217</v>
      </c>
      <c r="E101" s="164">
        <f t="shared" ref="E101:E154" si="16">IF(+J$96&lt;F100,J$96,D101)</f>
        <v>24783</v>
      </c>
      <c r="F101" s="163">
        <f t="shared" ref="F101:F154" si="17">+D101-E101</f>
        <v>1090434</v>
      </c>
      <c r="G101" s="163">
        <f t="shared" ref="G101:G154" si="18">+(F101+D101)/2</f>
        <v>1102825.5</v>
      </c>
      <c r="H101" s="333">
        <f t="shared" si="9"/>
        <v>164679.19545048618</v>
      </c>
      <c r="I101" s="344">
        <f t="shared" si="14"/>
        <v>164679.19545048618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>
        <f>IF(D93="","-",+C101+1)</f>
        <v>2020</v>
      </c>
      <c r="D102" s="158">
        <f>IF(F101+SUM(E$99:E101)=D$92,F101,D$92-SUM(E$99:E101))</f>
        <v>1090434</v>
      </c>
      <c r="E102" s="164">
        <f t="shared" si="16"/>
        <v>24783</v>
      </c>
      <c r="F102" s="163">
        <f t="shared" si="17"/>
        <v>1065651</v>
      </c>
      <c r="G102" s="163">
        <f t="shared" si="18"/>
        <v>1078042.5</v>
      </c>
      <c r="H102" s="333">
        <f t="shared" si="9"/>
        <v>161535.40941012948</v>
      </c>
      <c r="I102" s="344">
        <f t="shared" si="14"/>
        <v>161535.40941012948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>
        <f>IF(D93="","-",+C102+1)</f>
        <v>2021</v>
      </c>
      <c r="D103" s="158">
        <f>IF(F102+SUM(E$99:E102)=D$92,F102,D$92-SUM(E$99:E102))</f>
        <v>1065651</v>
      </c>
      <c r="E103" s="164">
        <f t="shared" si="16"/>
        <v>24783</v>
      </c>
      <c r="F103" s="163">
        <f t="shared" si="17"/>
        <v>1040868</v>
      </c>
      <c r="G103" s="163">
        <f t="shared" si="18"/>
        <v>1053259.5</v>
      </c>
      <c r="H103" s="333">
        <f t="shared" si="9"/>
        <v>158391.62336977277</v>
      </c>
      <c r="I103" s="344">
        <f t="shared" si="14"/>
        <v>158391.62336977277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>
        <f>IF(D93="","-",+C103+1)</f>
        <v>2022</v>
      </c>
      <c r="D104" s="158">
        <f>IF(F103+SUM(E$99:E103)=D$92,F103,D$92-SUM(E$99:E103))</f>
        <v>1040868</v>
      </c>
      <c r="E104" s="164">
        <f t="shared" si="16"/>
        <v>24783</v>
      </c>
      <c r="F104" s="163">
        <f t="shared" si="17"/>
        <v>1016085</v>
      </c>
      <c r="G104" s="163">
        <f t="shared" si="18"/>
        <v>1028476.5</v>
      </c>
      <c r="H104" s="333">
        <f t="shared" si="9"/>
        <v>155247.83732941607</v>
      </c>
      <c r="I104" s="344">
        <f t="shared" si="14"/>
        <v>155247.83732941607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>
        <f>IF(D93="","-",+C104+1)</f>
        <v>2023</v>
      </c>
      <c r="D105" s="158">
        <f>IF(F104+SUM(E$99:E104)=D$92,F104,D$92-SUM(E$99:E104))</f>
        <v>1016085</v>
      </c>
      <c r="E105" s="164">
        <f t="shared" si="16"/>
        <v>24783</v>
      </c>
      <c r="F105" s="163">
        <f t="shared" si="17"/>
        <v>991302</v>
      </c>
      <c r="G105" s="163">
        <f t="shared" si="18"/>
        <v>1003693.5</v>
      </c>
      <c r="H105" s="333">
        <f t="shared" si="9"/>
        <v>152104.0512890594</v>
      </c>
      <c r="I105" s="344">
        <f t="shared" si="14"/>
        <v>152104.0512890594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>
        <f>IF(D93="","-",+C105+1)</f>
        <v>2024</v>
      </c>
      <c r="D106" s="158">
        <f>IF(F105+SUM(E$99:E105)=D$92,F105,D$92-SUM(E$99:E105))</f>
        <v>991302</v>
      </c>
      <c r="E106" s="164">
        <f t="shared" si="16"/>
        <v>24783</v>
      </c>
      <c r="F106" s="163">
        <f t="shared" si="17"/>
        <v>966519</v>
      </c>
      <c r="G106" s="163">
        <f t="shared" si="18"/>
        <v>978910.5</v>
      </c>
      <c r="H106" s="333">
        <f t="shared" si="9"/>
        <v>148960.26524870266</v>
      </c>
      <c r="I106" s="344">
        <f t="shared" si="14"/>
        <v>148960.26524870266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>
        <f>IF(D93="","-",+C106+1)</f>
        <v>2025</v>
      </c>
      <c r="D107" s="158">
        <f>IF(F106+SUM(E$99:E106)=D$92,F106,D$92-SUM(E$99:E106))</f>
        <v>966519</v>
      </c>
      <c r="E107" s="164">
        <f t="shared" si="16"/>
        <v>24783</v>
      </c>
      <c r="F107" s="163">
        <f t="shared" si="17"/>
        <v>941736</v>
      </c>
      <c r="G107" s="163">
        <f t="shared" si="18"/>
        <v>954127.5</v>
      </c>
      <c r="H107" s="333">
        <f t="shared" si="9"/>
        <v>145816.47920834599</v>
      </c>
      <c r="I107" s="344">
        <f t="shared" si="14"/>
        <v>145816.47920834599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>
        <f>IF(D93="","-",+C107+1)</f>
        <v>2026</v>
      </c>
      <c r="D108" s="158">
        <f>IF(F107+SUM(E$99:E107)=D$92,F107,D$92-SUM(E$99:E107))</f>
        <v>941736</v>
      </c>
      <c r="E108" s="164">
        <f t="shared" si="16"/>
        <v>24783</v>
      </c>
      <c r="F108" s="163">
        <f t="shared" si="17"/>
        <v>916953</v>
      </c>
      <c r="G108" s="163">
        <f t="shared" si="18"/>
        <v>929344.5</v>
      </c>
      <c r="H108" s="333">
        <f t="shared" si="9"/>
        <v>142672.69316798926</v>
      </c>
      <c r="I108" s="344">
        <f t="shared" si="14"/>
        <v>142672.69316798926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>
        <f>IF(D93="","-",+C108+1)</f>
        <v>2027</v>
      </c>
      <c r="D109" s="158">
        <f>IF(F108+SUM(E$99:E108)=D$92,F108,D$92-SUM(E$99:E108))</f>
        <v>916953</v>
      </c>
      <c r="E109" s="164">
        <f t="shared" si="16"/>
        <v>24783</v>
      </c>
      <c r="F109" s="163">
        <f t="shared" si="17"/>
        <v>892170</v>
      </c>
      <c r="G109" s="163">
        <f t="shared" si="18"/>
        <v>904561.5</v>
      </c>
      <c r="H109" s="333">
        <f t="shared" si="9"/>
        <v>139528.90712763258</v>
      </c>
      <c r="I109" s="344">
        <f t="shared" si="14"/>
        <v>139528.90712763258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>
        <f>IF(D93="","-",+C109+1)</f>
        <v>2028</v>
      </c>
      <c r="D110" s="158">
        <f>IF(F109+SUM(E$99:E109)=D$92,F109,D$92-SUM(E$99:E109))</f>
        <v>892170</v>
      </c>
      <c r="E110" s="164">
        <f t="shared" si="16"/>
        <v>24783</v>
      </c>
      <c r="F110" s="163">
        <f t="shared" si="17"/>
        <v>867387</v>
      </c>
      <c r="G110" s="163">
        <f t="shared" si="18"/>
        <v>879778.5</v>
      </c>
      <c r="H110" s="333">
        <f t="shared" si="9"/>
        <v>136385.12108727585</v>
      </c>
      <c r="I110" s="344">
        <f t="shared" si="14"/>
        <v>136385.12108727585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>
        <f>IF(D93="","-",+C110+1)</f>
        <v>2029</v>
      </c>
      <c r="D111" s="158">
        <f>IF(F110+SUM(E$99:E110)=D$92,F110,D$92-SUM(E$99:E110))</f>
        <v>867387</v>
      </c>
      <c r="E111" s="164">
        <f t="shared" si="16"/>
        <v>24783</v>
      </c>
      <c r="F111" s="163">
        <f t="shared" si="17"/>
        <v>842604</v>
      </c>
      <c r="G111" s="163">
        <f t="shared" si="18"/>
        <v>854995.5</v>
      </c>
      <c r="H111" s="333">
        <f t="shared" si="9"/>
        <v>133241.33504691918</v>
      </c>
      <c r="I111" s="344">
        <f t="shared" si="14"/>
        <v>133241.33504691918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>
        <f>IF(D93="","-",+C111+1)</f>
        <v>2030</v>
      </c>
      <c r="D112" s="158">
        <f>IF(F111+SUM(E$99:E111)=D$92,F111,D$92-SUM(E$99:E111))</f>
        <v>842604</v>
      </c>
      <c r="E112" s="164">
        <f t="shared" si="16"/>
        <v>24783</v>
      </c>
      <c r="F112" s="163">
        <f t="shared" si="17"/>
        <v>817821</v>
      </c>
      <c r="G112" s="163">
        <f t="shared" si="18"/>
        <v>830212.5</v>
      </c>
      <c r="H112" s="333">
        <f t="shared" si="9"/>
        <v>130097.54900656248</v>
      </c>
      <c r="I112" s="344">
        <f t="shared" si="14"/>
        <v>130097.54900656248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>
        <f>IF(D93="","-",+C112+1)</f>
        <v>2031</v>
      </c>
      <c r="D113" s="158">
        <f>IF(F112+SUM(E$99:E112)=D$92,F112,D$92-SUM(E$99:E112))</f>
        <v>817821</v>
      </c>
      <c r="E113" s="164">
        <f t="shared" si="16"/>
        <v>24783</v>
      </c>
      <c r="F113" s="163">
        <f t="shared" si="17"/>
        <v>793038</v>
      </c>
      <c r="G113" s="163">
        <f t="shared" si="18"/>
        <v>805429.5</v>
      </c>
      <c r="H113" s="333">
        <f t="shared" si="9"/>
        <v>126953.76296620577</v>
      </c>
      <c r="I113" s="344">
        <f t="shared" si="14"/>
        <v>126953.76296620577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>
        <f>IF(D93="","-",+C113+1)</f>
        <v>2032</v>
      </c>
      <c r="D114" s="158">
        <f>IF(F113+SUM(E$99:E113)=D$92,F113,D$92-SUM(E$99:E113))</f>
        <v>793038</v>
      </c>
      <c r="E114" s="164">
        <f t="shared" si="16"/>
        <v>24783</v>
      </c>
      <c r="F114" s="163">
        <f t="shared" si="17"/>
        <v>768255</v>
      </c>
      <c r="G114" s="163">
        <f t="shared" si="18"/>
        <v>780646.5</v>
      </c>
      <c r="H114" s="333">
        <f t="shared" si="9"/>
        <v>123809.97692584907</v>
      </c>
      <c r="I114" s="344">
        <f t="shared" si="14"/>
        <v>123809.97692584907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>
        <f>IF(D93="","-",+C114+1)</f>
        <v>2033</v>
      </c>
      <c r="D115" s="158">
        <f>IF(F114+SUM(E$99:E114)=D$92,F114,D$92-SUM(E$99:E114))</f>
        <v>768255</v>
      </c>
      <c r="E115" s="164">
        <f t="shared" si="16"/>
        <v>24783</v>
      </c>
      <c r="F115" s="163">
        <f t="shared" si="17"/>
        <v>743472</v>
      </c>
      <c r="G115" s="163">
        <f t="shared" si="18"/>
        <v>755863.5</v>
      </c>
      <c r="H115" s="333">
        <f t="shared" si="9"/>
        <v>120666.19088549237</v>
      </c>
      <c r="I115" s="344">
        <f t="shared" si="14"/>
        <v>120666.19088549237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>
        <f>IF(D93="","-",+C115+1)</f>
        <v>2034</v>
      </c>
      <c r="D116" s="158">
        <f>IF(F115+SUM(E$99:E115)=D$92,F115,D$92-SUM(E$99:E115))</f>
        <v>743472</v>
      </c>
      <c r="E116" s="164">
        <f t="shared" si="16"/>
        <v>24783</v>
      </c>
      <c r="F116" s="163">
        <f t="shared" si="17"/>
        <v>718689</v>
      </c>
      <c r="G116" s="163">
        <f t="shared" si="18"/>
        <v>731080.5</v>
      </c>
      <c r="H116" s="333">
        <f t="shared" si="9"/>
        <v>117522.40484513566</v>
      </c>
      <c r="I116" s="344">
        <f t="shared" si="14"/>
        <v>117522.40484513566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>
        <f>IF(D93="","-",+C116+1)</f>
        <v>2035</v>
      </c>
      <c r="D117" s="158">
        <f>IF(F116+SUM(E$99:E116)=D$92,F116,D$92-SUM(E$99:E116))</f>
        <v>718689</v>
      </c>
      <c r="E117" s="164">
        <f t="shared" si="16"/>
        <v>24783</v>
      </c>
      <c r="F117" s="163">
        <f t="shared" si="17"/>
        <v>693906</v>
      </c>
      <c r="G117" s="163">
        <f t="shared" si="18"/>
        <v>706297.5</v>
      </c>
      <c r="H117" s="333">
        <f t="shared" si="9"/>
        <v>114378.61880477896</v>
      </c>
      <c r="I117" s="344">
        <f t="shared" si="14"/>
        <v>114378.61880477896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>
        <f>IF(D93="","-",+C117+1)</f>
        <v>2036</v>
      </c>
      <c r="D118" s="158">
        <f>IF(F117+SUM(E$99:E117)=D$92,F117,D$92-SUM(E$99:E117))</f>
        <v>693906</v>
      </c>
      <c r="E118" s="164">
        <f t="shared" si="16"/>
        <v>24783</v>
      </c>
      <c r="F118" s="163">
        <f t="shared" si="17"/>
        <v>669123</v>
      </c>
      <c r="G118" s="163">
        <f t="shared" si="18"/>
        <v>681514.5</v>
      </c>
      <c r="H118" s="333">
        <f t="shared" si="9"/>
        <v>111234.83276442226</v>
      </c>
      <c r="I118" s="344">
        <f t="shared" si="14"/>
        <v>111234.83276442226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>
        <f>IF(D93="","-",+C118+1)</f>
        <v>2037</v>
      </c>
      <c r="D119" s="158">
        <f>IF(F118+SUM(E$99:E118)=D$92,F118,D$92-SUM(E$99:E118))</f>
        <v>669123</v>
      </c>
      <c r="E119" s="164">
        <f t="shared" si="16"/>
        <v>24783</v>
      </c>
      <c r="F119" s="163">
        <f t="shared" si="17"/>
        <v>644340</v>
      </c>
      <c r="G119" s="163">
        <f t="shared" si="18"/>
        <v>656731.5</v>
      </c>
      <c r="H119" s="333">
        <f t="shared" si="9"/>
        <v>108091.04672406557</v>
      </c>
      <c r="I119" s="344">
        <f t="shared" si="14"/>
        <v>108091.04672406557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>
        <f>IF(D93="","-",+C119+1)</f>
        <v>2038</v>
      </c>
      <c r="D120" s="158">
        <f>IF(F119+SUM(E$99:E119)=D$92,F119,D$92-SUM(E$99:E119))</f>
        <v>644340</v>
      </c>
      <c r="E120" s="164">
        <f t="shared" si="16"/>
        <v>24783</v>
      </c>
      <c r="F120" s="163">
        <f t="shared" si="17"/>
        <v>619557</v>
      </c>
      <c r="G120" s="163">
        <f t="shared" si="18"/>
        <v>631948.5</v>
      </c>
      <c r="H120" s="333">
        <f t="shared" si="9"/>
        <v>104947.26068370887</v>
      </c>
      <c r="I120" s="344">
        <f t="shared" si="14"/>
        <v>104947.26068370887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>
        <f>IF(D93="","-",+C120+1)</f>
        <v>2039</v>
      </c>
      <c r="D121" s="158">
        <f>IF(F120+SUM(E$99:E120)=D$92,F120,D$92-SUM(E$99:E120))</f>
        <v>619557</v>
      </c>
      <c r="E121" s="164">
        <f t="shared" si="16"/>
        <v>24783</v>
      </c>
      <c r="F121" s="163">
        <f t="shared" si="17"/>
        <v>594774</v>
      </c>
      <c r="G121" s="163">
        <f t="shared" si="18"/>
        <v>607165.5</v>
      </c>
      <c r="H121" s="333">
        <f t="shared" si="9"/>
        <v>101803.47464335217</v>
      </c>
      <c r="I121" s="344">
        <f t="shared" si="14"/>
        <v>101803.47464335217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>
        <f>IF(D93="","-",+C121+1)</f>
        <v>2040</v>
      </c>
      <c r="D122" s="158">
        <f>IF(F121+SUM(E$99:E121)=D$92,F121,D$92-SUM(E$99:E121))</f>
        <v>594774</v>
      </c>
      <c r="E122" s="164">
        <f t="shared" si="16"/>
        <v>24783</v>
      </c>
      <c r="F122" s="163">
        <f t="shared" si="17"/>
        <v>569991</v>
      </c>
      <c r="G122" s="163">
        <f t="shared" si="18"/>
        <v>582382.5</v>
      </c>
      <c r="H122" s="333">
        <f t="shared" si="9"/>
        <v>98659.688602995462</v>
      </c>
      <c r="I122" s="344">
        <f t="shared" si="14"/>
        <v>98659.688602995462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>
        <f>IF(D93="","-",+C122+1)</f>
        <v>2041</v>
      </c>
      <c r="D123" s="158">
        <f>IF(F122+SUM(E$99:E122)=D$92,F122,D$92-SUM(E$99:E122))</f>
        <v>569991</v>
      </c>
      <c r="E123" s="164">
        <f t="shared" si="16"/>
        <v>24783</v>
      </c>
      <c r="F123" s="163">
        <f t="shared" si="17"/>
        <v>545208</v>
      </c>
      <c r="G123" s="163">
        <f t="shared" si="18"/>
        <v>557599.5</v>
      </c>
      <c r="H123" s="333">
        <f t="shared" si="9"/>
        <v>95515.902562638759</v>
      </c>
      <c r="I123" s="344">
        <f t="shared" si="14"/>
        <v>95515.902562638759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>
        <f>IF(D93="","-",+C123+1)</f>
        <v>2042</v>
      </c>
      <c r="D124" s="158">
        <f>IF(F123+SUM(E$99:E123)=D$92,F123,D$92-SUM(E$99:E123))</f>
        <v>545208</v>
      </c>
      <c r="E124" s="164">
        <f t="shared" si="16"/>
        <v>24783</v>
      </c>
      <c r="F124" s="163">
        <f t="shared" si="17"/>
        <v>520425</v>
      </c>
      <c r="G124" s="163">
        <f t="shared" si="18"/>
        <v>532816.5</v>
      </c>
      <c r="H124" s="333">
        <f t="shared" si="9"/>
        <v>92372.116522282056</v>
      </c>
      <c r="I124" s="344">
        <f t="shared" si="14"/>
        <v>92372.116522282056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>
        <f>IF(D93="","-",+C124+1)</f>
        <v>2043</v>
      </c>
      <c r="D125" s="158">
        <f>IF(F124+SUM(E$99:E124)=D$92,F124,D$92-SUM(E$99:E124))</f>
        <v>520425</v>
      </c>
      <c r="E125" s="164">
        <f t="shared" si="16"/>
        <v>24783</v>
      </c>
      <c r="F125" s="163">
        <f t="shared" si="17"/>
        <v>495642</v>
      </c>
      <c r="G125" s="163">
        <f t="shared" si="18"/>
        <v>508033.5</v>
      </c>
      <c r="H125" s="333">
        <f t="shared" si="9"/>
        <v>89228.330481925354</v>
      </c>
      <c r="I125" s="344">
        <f t="shared" si="14"/>
        <v>89228.330481925354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>
        <f>IF(D93="","-",+C125+1)</f>
        <v>2044</v>
      </c>
      <c r="D126" s="158">
        <f>IF(F125+SUM(E$99:E125)=D$92,F125,D$92-SUM(E$99:E125))</f>
        <v>495642</v>
      </c>
      <c r="E126" s="164">
        <f t="shared" si="16"/>
        <v>24783</v>
      </c>
      <c r="F126" s="163">
        <f t="shared" si="17"/>
        <v>470859</v>
      </c>
      <c r="G126" s="163">
        <f t="shared" si="18"/>
        <v>483250.5</v>
      </c>
      <c r="H126" s="333">
        <f t="shared" si="9"/>
        <v>86084.544441568665</v>
      </c>
      <c r="I126" s="344">
        <f t="shared" si="14"/>
        <v>86084.544441568665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>
        <f>IF(D93="","-",+C126+1)</f>
        <v>2045</v>
      </c>
      <c r="D127" s="158">
        <f>IF(F126+SUM(E$99:E126)=D$92,F126,D$92-SUM(E$99:E126))</f>
        <v>470859</v>
      </c>
      <c r="E127" s="164">
        <f t="shared" si="16"/>
        <v>24783</v>
      </c>
      <c r="F127" s="163">
        <f t="shared" si="17"/>
        <v>446076</v>
      </c>
      <c r="G127" s="163">
        <f t="shared" si="18"/>
        <v>458467.5</v>
      </c>
      <c r="H127" s="333">
        <f t="shared" si="9"/>
        <v>82940.758401211962</v>
      </c>
      <c r="I127" s="344">
        <f t="shared" si="14"/>
        <v>82940.758401211962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>
        <f>IF(D93="","-",+C127+1)</f>
        <v>2046</v>
      </c>
      <c r="D128" s="158">
        <f>IF(F127+SUM(E$99:E127)=D$92,F127,D$92-SUM(E$99:E127))</f>
        <v>446076</v>
      </c>
      <c r="E128" s="164">
        <f t="shared" si="16"/>
        <v>24783</v>
      </c>
      <c r="F128" s="163">
        <f t="shared" si="17"/>
        <v>421293</v>
      </c>
      <c r="G128" s="163">
        <f t="shared" si="18"/>
        <v>433684.5</v>
      </c>
      <c r="H128" s="333">
        <f t="shared" si="9"/>
        <v>79796.972360855259</v>
      </c>
      <c r="I128" s="344">
        <f t="shared" si="14"/>
        <v>79796.972360855259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>
        <f>IF(D93="","-",+C128+1)</f>
        <v>2047</v>
      </c>
      <c r="D129" s="158">
        <f>IF(F128+SUM(E$99:E128)=D$92,F128,D$92-SUM(E$99:E128))</f>
        <v>421293</v>
      </c>
      <c r="E129" s="164">
        <f t="shared" si="16"/>
        <v>24783</v>
      </c>
      <c r="F129" s="163">
        <f t="shared" si="17"/>
        <v>396510</v>
      </c>
      <c r="G129" s="163">
        <f t="shared" si="18"/>
        <v>408901.5</v>
      </c>
      <c r="H129" s="333">
        <f t="shared" si="9"/>
        <v>76653.186320498557</v>
      </c>
      <c r="I129" s="344">
        <f t="shared" si="14"/>
        <v>76653.186320498557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>
        <f>IF(D93="","-",+C129+1)</f>
        <v>2048</v>
      </c>
      <c r="D130" s="158">
        <f>IF(F129+SUM(E$99:E129)=D$92,F129,D$92-SUM(E$99:E129))</f>
        <v>396510</v>
      </c>
      <c r="E130" s="164">
        <f t="shared" si="16"/>
        <v>24783</v>
      </c>
      <c r="F130" s="163">
        <f t="shared" si="17"/>
        <v>371727</v>
      </c>
      <c r="G130" s="163">
        <f t="shared" si="18"/>
        <v>384118.5</v>
      </c>
      <c r="H130" s="333">
        <f t="shared" si="9"/>
        <v>73509.400280141854</v>
      </c>
      <c r="I130" s="344">
        <f t="shared" si="14"/>
        <v>73509.400280141854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>
        <f>IF(D93="","-",+C130+1)</f>
        <v>2049</v>
      </c>
      <c r="D131" s="158">
        <f>IF(F130+SUM(E$99:E130)=D$92,F130,D$92-SUM(E$99:E130))</f>
        <v>371727</v>
      </c>
      <c r="E131" s="164">
        <f t="shared" si="16"/>
        <v>24783</v>
      </c>
      <c r="F131" s="163">
        <f t="shared" si="17"/>
        <v>346944</v>
      </c>
      <c r="G131" s="163">
        <f t="shared" si="18"/>
        <v>359335.5</v>
      </c>
      <c r="H131" s="333">
        <f t="shared" si="9"/>
        <v>70365.614239785151</v>
      </c>
      <c r="I131" s="344">
        <f t="shared" si="14"/>
        <v>70365.614239785151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2050</v>
      </c>
      <c r="D132" s="158">
        <f>IF(F131+SUM(E$99:E131)=D$92,F131,D$92-SUM(E$99:E131))</f>
        <v>346944</v>
      </c>
      <c r="E132" s="164">
        <f t="shared" si="16"/>
        <v>24783</v>
      </c>
      <c r="F132" s="163">
        <f t="shared" si="17"/>
        <v>322161</v>
      </c>
      <c r="G132" s="163">
        <f t="shared" si="18"/>
        <v>334552.5</v>
      </c>
      <c r="H132" s="333">
        <f t="shared" si="9"/>
        <v>67221.828199428448</v>
      </c>
      <c r="I132" s="344">
        <f t="shared" si="14"/>
        <v>67221.828199428448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2051</v>
      </c>
      <c r="D133" s="158">
        <f>IF(F132+SUM(E$99:E132)=D$92,F132,D$92-SUM(E$99:E132))</f>
        <v>322161</v>
      </c>
      <c r="E133" s="164">
        <f t="shared" si="16"/>
        <v>24783</v>
      </c>
      <c r="F133" s="163">
        <f t="shared" si="17"/>
        <v>297378</v>
      </c>
      <c r="G133" s="163">
        <f t="shared" si="18"/>
        <v>309769.5</v>
      </c>
      <c r="H133" s="333">
        <f t="shared" si="9"/>
        <v>64078.042159071745</v>
      </c>
      <c r="I133" s="344">
        <f t="shared" si="14"/>
        <v>64078.042159071745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2052</v>
      </c>
      <c r="D134" s="158">
        <f>IF(F133+SUM(E$99:E133)=D$92,F133,D$92-SUM(E$99:E133))</f>
        <v>297378</v>
      </c>
      <c r="E134" s="164">
        <f t="shared" si="16"/>
        <v>24783</v>
      </c>
      <c r="F134" s="163">
        <f t="shared" si="17"/>
        <v>272595</v>
      </c>
      <c r="G134" s="163">
        <f t="shared" si="18"/>
        <v>284986.5</v>
      </c>
      <c r="H134" s="333">
        <f t="shared" si="9"/>
        <v>60934.25611871505</v>
      </c>
      <c r="I134" s="344">
        <f t="shared" si="14"/>
        <v>60934.25611871505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2053</v>
      </c>
      <c r="D135" s="158">
        <f>IF(F134+SUM(E$99:E134)=D$92,F134,D$92-SUM(E$99:E134))</f>
        <v>272595</v>
      </c>
      <c r="E135" s="164">
        <f t="shared" si="16"/>
        <v>24783</v>
      </c>
      <c r="F135" s="163">
        <f t="shared" si="17"/>
        <v>247812</v>
      </c>
      <c r="G135" s="163">
        <f t="shared" si="18"/>
        <v>260203.5</v>
      </c>
      <c r="H135" s="333">
        <f t="shared" si="9"/>
        <v>57790.470078358347</v>
      </c>
      <c r="I135" s="344">
        <f t="shared" si="14"/>
        <v>57790.470078358347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2054</v>
      </c>
      <c r="D136" s="158">
        <f>IF(F135+SUM(E$99:E135)=D$92,F135,D$92-SUM(E$99:E135))</f>
        <v>247812</v>
      </c>
      <c r="E136" s="164">
        <f t="shared" si="16"/>
        <v>24783</v>
      </c>
      <c r="F136" s="163">
        <f t="shared" si="17"/>
        <v>223029</v>
      </c>
      <c r="G136" s="163">
        <f t="shared" si="18"/>
        <v>235420.5</v>
      </c>
      <c r="H136" s="333">
        <f t="shared" si="9"/>
        <v>54646.684038001644</v>
      </c>
      <c r="I136" s="344">
        <f t="shared" si="14"/>
        <v>54646.684038001644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2055</v>
      </c>
      <c r="D137" s="158">
        <f>IF(F136+SUM(E$99:E136)=D$92,F136,D$92-SUM(E$99:E136))</f>
        <v>223029</v>
      </c>
      <c r="E137" s="164">
        <f t="shared" si="16"/>
        <v>24783</v>
      </c>
      <c r="F137" s="163">
        <f t="shared" si="17"/>
        <v>198246</v>
      </c>
      <c r="G137" s="163">
        <f t="shared" si="18"/>
        <v>210637.5</v>
      </c>
      <c r="H137" s="333">
        <f t="shared" si="9"/>
        <v>51502.897997644948</v>
      </c>
      <c r="I137" s="344">
        <f t="shared" si="14"/>
        <v>51502.897997644948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2056</v>
      </c>
      <c r="D138" s="158">
        <f>IF(F137+SUM(E$99:E137)=D$92,F137,D$92-SUM(E$99:E137))</f>
        <v>198246</v>
      </c>
      <c r="E138" s="164">
        <f t="shared" si="16"/>
        <v>24783</v>
      </c>
      <c r="F138" s="163">
        <f t="shared" si="17"/>
        <v>173463</v>
      </c>
      <c r="G138" s="163">
        <f t="shared" si="18"/>
        <v>185854.5</v>
      </c>
      <c r="H138" s="333">
        <f t="shared" si="9"/>
        <v>48359.111957288245</v>
      </c>
      <c r="I138" s="344">
        <f t="shared" si="14"/>
        <v>48359.111957288245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2057</v>
      </c>
      <c r="D139" s="158">
        <f>IF(F138+SUM(E$99:E138)=D$92,F138,D$92-SUM(E$99:E138))</f>
        <v>173463</v>
      </c>
      <c r="E139" s="164">
        <f t="shared" si="16"/>
        <v>24783</v>
      </c>
      <c r="F139" s="163">
        <f t="shared" si="17"/>
        <v>148680</v>
      </c>
      <c r="G139" s="163">
        <f t="shared" si="18"/>
        <v>161071.5</v>
      </c>
      <c r="H139" s="333">
        <f t="shared" si="9"/>
        <v>45215.325916931542</v>
      </c>
      <c r="I139" s="344">
        <f t="shared" si="14"/>
        <v>45215.325916931542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2058</v>
      </c>
      <c r="D140" s="158">
        <f>IF(F139+SUM(E$99:E139)=D$92,F139,D$92-SUM(E$99:E139))</f>
        <v>148680</v>
      </c>
      <c r="E140" s="164">
        <f t="shared" si="16"/>
        <v>24783</v>
      </c>
      <c r="F140" s="163">
        <f t="shared" si="17"/>
        <v>123897</v>
      </c>
      <c r="G140" s="163">
        <f t="shared" si="18"/>
        <v>136288.5</v>
      </c>
      <c r="H140" s="333">
        <f t="shared" si="9"/>
        <v>42071.53987657484</v>
      </c>
      <c r="I140" s="344">
        <f t="shared" si="14"/>
        <v>42071.53987657484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2059</v>
      </c>
      <c r="D141" s="158">
        <f>IF(F140+SUM(E$99:E140)=D$92,F140,D$92-SUM(E$99:E140))</f>
        <v>123897</v>
      </c>
      <c r="E141" s="164">
        <f t="shared" si="16"/>
        <v>24783</v>
      </c>
      <c r="F141" s="163">
        <f t="shared" si="17"/>
        <v>99114</v>
      </c>
      <c r="G141" s="163">
        <f t="shared" si="18"/>
        <v>111505.5</v>
      </c>
      <c r="H141" s="333">
        <f t="shared" si="9"/>
        <v>38927.753836218137</v>
      </c>
      <c r="I141" s="344">
        <f t="shared" si="14"/>
        <v>38927.753836218137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2060</v>
      </c>
      <c r="D142" s="158">
        <f>IF(F141+SUM(E$99:E141)=D$92,F141,D$92-SUM(E$99:E141))</f>
        <v>99114</v>
      </c>
      <c r="E142" s="164">
        <f t="shared" si="16"/>
        <v>24783</v>
      </c>
      <c r="F142" s="163">
        <f t="shared" si="17"/>
        <v>74331</v>
      </c>
      <c r="G142" s="163">
        <f t="shared" si="18"/>
        <v>86722.5</v>
      </c>
      <c r="H142" s="333">
        <f t="shared" si="9"/>
        <v>35783.967795861434</v>
      </c>
      <c r="I142" s="344">
        <f t="shared" si="14"/>
        <v>35783.967795861434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2061</v>
      </c>
      <c r="D143" s="158">
        <f>IF(F142+SUM(E$99:E142)=D$92,F142,D$92-SUM(E$99:E142))</f>
        <v>74331</v>
      </c>
      <c r="E143" s="164">
        <f t="shared" si="16"/>
        <v>24783</v>
      </c>
      <c r="F143" s="163">
        <f t="shared" si="17"/>
        <v>49548</v>
      </c>
      <c r="G143" s="163">
        <f t="shared" si="18"/>
        <v>61939.5</v>
      </c>
      <c r="H143" s="333">
        <f t="shared" si="9"/>
        <v>32640.181755504738</v>
      </c>
      <c r="I143" s="344">
        <f t="shared" si="14"/>
        <v>32640.181755504738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2062</v>
      </c>
      <c r="D144" s="158">
        <f>IF(F143+SUM(E$99:E143)=D$92,F143,D$92-SUM(E$99:E143))</f>
        <v>49548</v>
      </c>
      <c r="E144" s="164">
        <f t="shared" si="16"/>
        <v>24783</v>
      </c>
      <c r="F144" s="163">
        <f t="shared" si="17"/>
        <v>24765</v>
      </c>
      <c r="G144" s="163">
        <f t="shared" si="18"/>
        <v>37156.5</v>
      </c>
      <c r="H144" s="333">
        <f t="shared" si="9"/>
        <v>29496.395715148035</v>
      </c>
      <c r="I144" s="344">
        <f t="shared" si="14"/>
        <v>29496.395715148035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2063</v>
      </c>
      <c r="D145" s="158">
        <f>IF(F144+SUM(E$99:E144)=D$92,F144,D$92-SUM(E$99:E144))</f>
        <v>24765</v>
      </c>
      <c r="E145" s="164">
        <f t="shared" si="16"/>
        <v>24765</v>
      </c>
      <c r="F145" s="163">
        <f t="shared" si="17"/>
        <v>0</v>
      </c>
      <c r="G145" s="163">
        <f t="shared" si="18"/>
        <v>12382.5</v>
      </c>
      <c r="H145" s="333">
        <f t="shared" si="9"/>
        <v>26335.751347484842</v>
      </c>
      <c r="I145" s="344">
        <f t="shared" si="14"/>
        <v>26335.751347484842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2064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2065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2066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2067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2068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2069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2070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2071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2072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1140000</v>
      </c>
      <c r="F155" s="115"/>
      <c r="G155" s="115"/>
      <c r="H155" s="115">
        <f>SUM(H99:H154)</f>
        <v>4538327.6757377917</v>
      </c>
      <c r="I155" s="115">
        <f>SUM(I99:I154)</f>
        <v>4538327.6757377917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7" priority="1" stopIfTrue="1" operator="equal">
      <formula>$I$10</formula>
    </cfRule>
  </conditionalFormatting>
  <conditionalFormatting sqref="C99:C154">
    <cfRule type="cellIs" dxfId="16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P162"/>
  <sheetViews>
    <sheetView view="pageBreakPreview" zoomScale="78" zoomScaleNormal="100" zoomScaleSheetLayoutView="78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21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35362.40744370599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35362.40744370599</v>
      </c>
      <c r="O6" s="1"/>
      <c r="P6" s="1"/>
    </row>
    <row r="7" spans="1:16" ht="13.5" thickBot="1">
      <c r="C7" s="127" t="s">
        <v>41</v>
      </c>
      <c r="D7" s="227" t="s">
        <v>270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296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262000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6550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2017</v>
      </c>
      <c r="D17" s="466">
        <v>0</v>
      </c>
      <c r="E17" s="469">
        <v>2847.8260869565215</v>
      </c>
      <c r="F17" s="467">
        <v>259152.17391304349</v>
      </c>
      <c r="G17" s="469">
        <v>19337.763746241846</v>
      </c>
      <c r="H17" s="468">
        <v>19337.763746241846</v>
      </c>
      <c r="I17" s="160">
        <f t="shared" ref="I17:I72" si="0">H17-G17</f>
        <v>0</v>
      </c>
      <c r="J17" s="160"/>
      <c r="K17" s="337">
        <f>+G17</f>
        <v>19337.763746241846</v>
      </c>
      <c r="L17" s="161">
        <f t="shared" ref="L17:L72" si="1">IF(K17&lt;&gt;0,+G17-K17,0)</f>
        <v>0</v>
      </c>
      <c r="M17" s="337">
        <f>+H17</f>
        <v>19337.763746241846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420">
        <v>259152.17391304349</v>
      </c>
      <c r="E18" s="421">
        <v>5822.2222222222226</v>
      </c>
      <c r="F18" s="420">
        <v>253329.95169082127</v>
      </c>
      <c r="G18" s="421">
        <v>36509.380469214986</v>
      </c>
      <c r="H18" s="425">
        <v>36509.380469214986</v>
      </c>
      <c r="I18" s="160">
        <f t="shared" si="0"/>
        <v>0</v>
      </c>
      <c r="J18" s="160"/>
      <c r="K18" s="338">
        <f>G18</f>
        <v>36509.380469214986</v>
      </c>
      <c r="L18" s="440">
        <f>IF(K18&lt;&gt;0,+G18-K18,0)</f>
        <v>0</v>
      </c>
      <c r="M18" s="338">
        <f>H18</f>
        <v>36509.380469214986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166">
        <f>IF(F18+SUM(E$17:E18)=D$10,F18,D$10-SUM(E$17:E18))</f>
        <v>253329.95169082127</v>
      </c>
      <c r="E19" s="164">
        <f t="shared" ref="E19:E72" si="4">IF(+I$14&lt;F18,I$14,D19)</f>
        <v>6550</v>
      </c>
      <c r="F19" s="163">
        <f t="shared" ref="F19:F72" si="5">+D19-E19</f>
        <v>246779.95169082127</v>
      </c>
      <c r="G19" s="165">
        <f t="shared" ref="G19:G72" si="6">(D19+F19)/2*I$12+E19</f>
        <v>35362.40744370599</v>
      </c>
      <c r="H19" s="147">
        <f t="shared" ref="H19:H72" si="7">+(D19+F19)/2*I$13+E19</f>
        <v>35362.40744370599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246779.95169082127</v>
      </c>
      <c r="E20" s="164">
        <f t="shared" si="4"/>
        <v>6550</v>
      </c>
      <c r="F20" s="163">
        <f t="shared" si="5"/>
        <v>240229.95169082127</v>
      </c>
      <c r="G20" s="165">
        <f t="shared" si="6"/>
        <v>34607.688261061616</v>
      </c>
      <c r="H20" s="147">
        <f t="shared" si="7"/>
        <v>34607.688261061616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240229.95169082127</v>
      </c>
      <c r="E21" s="164">
        <f t="shared" si="4"/>
        <v>6550</v>
      </c>
      <c r="F21" s="163">
        <f t="shared" si="5"/>
        <v>233679.95169082127</v>
      </c>
      <c r="G21" s="165">
        <f t="shared" si="6"/>
        <v>33852.969078417249</v>
      </c>
      <c r="H21" s="147">
        <f t="shared" si="7"/>
        <v>33852.969078417249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233679.95169082127</v>
      </c>
      <c r="E22" s="164">
        <f t="shared" si="4"/>
        <v>6550</v>
      </c>
      <c r="F22" s="163">
        <f t="shared" si="5"/>
        <v>227129.95169082127</v>
      </c>
      <c r="G22" s="165">
        <f t="shared" si="6"/>
        <v>33098.249895772882</v>
      </c>
      <c r="H22" s="147">
        <f t="shared" si="7"/>
        <v>33098.249895772882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227129.95169082127</v>
      </c>
      <c r="E23" s="164">
        <f t="shared" si="4"/>
        <v>6550</v>
      </c>
      <c r="F23" s="163">
        <f t="shared" si="5"/>
        <v>220579.95169082127</v>
      </c>
      <c r="G23" s="165">
        <f t="shared" si="6"/>
        <v>32343.530713128508</v>
      </c>
      <c r="H23" s="147">
        <f t="shared" si="7"/>
        <v>32343.530713128508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220579.95169082127</v>
      </c>
      <c r="E24" s="164">
        <f t="shared" si="4"/>
        <v>6550</v>
      </c>
      <c r="F24" s="163">
        <f t="shared" si="5"/>
        <v>214029.95169082127</v>
      </c>
      <c r="G24" s="165">
        <f t="shared" si="6"/>
        <v>31588.811530484138</v>
      </c>
      <c r="H24" s="147">
        <f t="shared" si="7"/>
        <v>31588.811530484138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214029.95169082127</v>
      </c>
      <c r="E25" s="164">
        <f t="shared" si="4"/>
        <v>6550</v>
      </c>
      <c r="F25" s="163">
        <f t="shared" si="5"/>
        <v>207479.95169082127</v>
      </c>
      <c r="G25" s="165">
        <f t="shared" si="6"/>
        <v>30834.092347839767</v>
      </c>
      <c r="H25" s="147">
        <f t="shared" si="7"/>
        <v>30834.092347839767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207479.95169082127</v>
      </c>
      <c r="E26" s="164">
        <f t="shared" si="4"/>
        <v>6550</v>
      </c>
      <c r="F26" s="163">
        <f t="shared" si="5"/>
        <v>200929.95169082127</v>
      </c>
      <c r="G26" s="165">
        <f t="shared" si="6"/>
        <v>30079.373165195397</v>
      </c>
      <c r="H26" s="147">
        <f t="shared" si="7"/>
        <v>30079.373165195397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200929.95169082127</v>
      </c>
      <c r="E27" s="164">
        <f t="shared" si="4"/>
        <v>6550</v>
      </c>
      <c r="F27" s="163">
        <f t="shared" si="5"/>
        <v>194379.95169082127</v>
      </c>
      <c r="G27" s="165">
        <f t="shared" si="6"/>
        <v>29324.653982551026</v>
      </c>
      <c r="H27" s="147">
        <f t="shared" si="7"/>
        <v>29324.653982551026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194379.95169082127</v>
      </c>
      <c r="E28" s="164">
        <f t="shared" si="4"/>
        <v>6550</v>
      </c>
      <c r="F28" s="163">
        <f t="shared" si="5"/>
        <v>187829.95169082127</v>
      </c>
      <c r="G28" s="165">
        <f t="shared" si="6"/>
        <v>28569.934799906656</v>
      </c>
      <c r="H28" s="147">
        <f t="shared" si="7"/>
        <v>28569.934799906656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187829.95169082127</v>
      </c>
      <c r="E29" s="164">
        <f t="shared" si="4"/>
        <v>6550</v>
      </c>
      <c r="F29" s="163">
        <f t="shared" si="5"/>
        <v>181279.95169082127</v>
      </c>
      <c r="G29" s="165">
        <f t="shared" si="6"/>
        <v>27815.215617262285</v>
      </c>
      <c r="H29" s="147">
        <f t="shared" si="7"/>
        <v>27815.215617262285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181279.95169082127</v>
      </c>
      <c r="E30" s="164">
        <f t="shared" si="4"/>
        <v>6550</v>
      </c>
      <c r="F30" s="163">
        <f t="shared" si="5"/>
        <v>174729.95169082127</v>
      </c>
      <c r="G30" s="165">
        <f t="shared" si="6"/>
        <v>27060.496434617911</v>
      </c>
      <c r="H30" s="147">
        <f t="shared" si="7"/>
        <v>27060.496434617911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174729.95169082127</v>
      </c>
      <c r="E31" s="164">
        <f t="shared" si="4"/>
        <v>6550</v>
      </c>
      <c r="F31" s="163">
        <f t="shared" si="5"/>
        <v>168179.95169082127</v>
      </c>
      <c r="G31" s="165">
        <f t="shared" si="6"/>
        <v>26305.777251973541</v>
      </c>
      <c r="H31" s="147">
        <f t="shared" si="7"/>
        <v>26305.777251973541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168179.95169082127</v>
      </c>
      <c r="E32" s="164">
        <f t="shared" si="4"/>
        <v>6550</v>
      </c>
      <c r="F32" s="163">
        <f t="shared" si="5"/>
        <v>161629.95169082127</v>
      </c>
      <c r="G32" s="165">
        <f t="shared" si="6"/>
        <v>25551.05806932917</v>
      </c>
      <c r="H32" s="147">
        <f t="shared" si="7"/>
        <v>25551.05806932917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161629.95169082127</v>
      </c>
      <c r="E33" s="164">
        <f t="shared" si="4"/>
        <v>6550</v>
      </c>
      <c r="F33" s="163">
        <f t="shared" si="5"/>
        <v>155079.95169082127</v>
      </c>
      <c r="G33" s="165">
        <f t="shared" si="6"/>
        <v>24796.3388866848</v>
      </c>
      <c r="H33" s="147">
        <f t="shared" si="7"/>
        <v>24796.3388866848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155079.95169082127</v>
      </c>
      <c r="E34" s="164">
        <f t="shared" si="4"/>
        <v>6550</v>
      </c>
      <c r="F34" s="163">
        <f t="shared" si="5"/>
        <v>148529.95169082127</v>
      </c>
      <c r="G34" s="165">
        <f t="shared" si="6"/>
        <v>24041.619704040429</v>
      </c>
      <c r="H34" s="147">
        <f t="shared" si="7"/>
        <v>24041.619704040429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148529.95169082127</v>
      </c>
      <c r="E35" s="164">
        <f t="shared" si="4"/>
        <v>6550</v>
      </c>
      <c r="F35" s="163">
        <f t="shared" si="5"/>
        <v>141979.95169082127</v>
      </c>
      <c r="G35" s="165">
        <f t="shared" si="6"/>
        <v>23286.900521396059</v>
      </c>
      <c r="H35" s="147">
        <f t="shared" si="7"/>
        <v>23286.900521396059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141979.95169082127</v>
      </c>
      <c r="E36" s="164">
        <f t="shared" si="4"/>
        <v>6550</v>
      </c>
      <c r="F36" s="163">
        <f t="shared" si="5"/>
        <v>135429.95169082127</v>
      </c>
      <c r="G36" s="165">
        <f t="shared" si="6"/>
        <v>22532.181338751689</v>
      </c>
      <c r="H36" s="147">
        <f t="shared" si="7"/>
        <v>22532.181338751689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135429.95169082127</v>
      </c>
      <c r="E37" s="164">
        <f t="shared" si="4"/>
        <v>6550</v>
      </c>
      <c r="F37" s="163">
        <f t="shared" si="5"/>
        <v>128879.95169082127</v>
      </c>
      <c r="G37" s="165">
        <f t="shared" si="6"/>
        <v>21777.462156107318</v>
      </c>
      <c r="H37" s="147">
        <f t="shared" si="7"/>
        <v>21777.462156107318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128879.95169082127</v>
      </c>
      <c r="E38" s="164">
        <f t="shared" si="4"/>
        <v>6550</v>
      </c>
      <c r="F38" s="163">
        <f t="shared" si="5"/>
        <v>122329.95169082127</v>
      </c>
      <c r="G38" s="165">
        <f t="shared" si="6"/>
        <v>21022.742973462948</v>
      </c>
      <c r="H38" s="147">
        <f t="shared" si="7"/>
        <v>21022.742973462948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122329.95169082127</v>
      </c>
      <c r="E39" s="164">
        <f t="shared" si="4"/>
        <v>6550</v>
      </c>
      <c r="F39" s="163">
        <f t="shared" si="5"/>
        <v>115779.95169082127</v>
      </c>
      <c r="G39" s="165">
        <f t="shared" si="6"/>
        <v>20268.023790818574</v>
      </c>
      <c r="H39" s="147">
        <f t="shared" si="7"/>
        <v>20268.023790818574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115779.95169082127</v>
      </c>
      <c r="E40" s="164">
        <f t="shared" si="4"/>
        <v>6550</v>
      </c>
      <c r="F40" s="163">
        <f t="shared" si="5"/>
        <v>109229.95169082127</v>
      </c>
      <c r="G40" s="165">
        <f t="shared" si="6"/>
        <v>19513.304608174207</v>
      </c>
      <c r="H40" s="147">
        <f t="shared" si="7"/>
        <v>19513.304608174207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109229.95169082127</v>
      </c>
      <c r="E41" s="164">
        <f t="shared" si="4"/>
        <v>6550</v>
      </c>
      <c r="F41" s="163">
        <f t="shared" si="5"/>
        <v>102679.95169082127</v>
      </c>
      <c r="G41" s="165">
        <f t="shared" si="6"/>
        <v>18758.585425529833</v>
      </c>
      <c r="H41" s="147">
        <f t="shared" si="7"/>
        <v>18758.585425529833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102679.95169082127</v>
      </c>
      <c r="E42" s="164">
        <f t="shared" si="4"/>
        <v>6550</v>
      </c>
      <c r="F42" s="163">
        <f t="shared" si="5"/>
        <v>96129.951690821268</v>
      </c>
      <c r="G42" s="165">
        <f t="shared" si="6"/>
        <v>18003.866242885466</v>
      </c>
      <c r="H42" s="147">
        <f t="shared" si="7"/>
        <v>18003.866242885466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96129.951690821268</v>
      </c>
      <c r="E43" s="164">
        <f t="shared" si="4"/>
        <v>6550</v>
      </c>
      <c r="F43" s="163">
        <f t="shared" si="5"/>
        <v>89579.951690821268</v>
      </c>
      <c r="G43" s="165">
        <f t="shared" si="6"/>
        <v>17249.147060241092</v>
      </c>
      <c r="H43" s="147">
        <f t="shared" si="7"/>
        <v>17249.147060241092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89579.951690821268</v>
      </c>
      <c r="E44" s="164">
        <f t="shared" si="4"/>
        <v>6550</v>
      </c>
      <c r="F44" s="163">
        <f t="shared" si="5"/>
        <v>83029.951690821268</v>
      </c>
      <c r="G44" s="165">
        <f t="shared" si="6"/>
        <v>16494.427877596725</v>
      </c>
      <c r="H44" s="147">
        <f t="shared" si="7"/>
        <v>16494.427877596725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83029.951690821268</v>
      </c>
      <c r="E45" s="164">
        <f t="shared" si="4"/>
        <v>6550</v>
      </c>
      <c r="F45" s="163">
        <f t="shared" si="5"/>
        <v>76479.951690821268</v>
      </c>
      <c r="G45" s="165">
        <f t="shared" si="6"/>
        <v>15739.708694952351</v>
      </c>
      <c r="H45" s="147">
        <f t="shared" si="7"/>
        <v>15739.708694952351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76479.951690821268</v>
      </c>
      <c r="E46" s="164">
        <f t="shared" si="4"/>
        <v>6550</v>
      </c>
      <c r="F46" s="163">
        <f t="shared" si="5"/>
        <v>69929.951690821268</v>
      </c>
      <c r="G46" s="165">
        <f t="shared" si="6"/>
        <v>14984.98951230798</v>
      </c>
      <c r="H46" s="147">
        <f t="shared" si="7"/>
        <v>14984.98951230798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69929.951690821268</v>
      </c>
      <c r="E47" s="164">
        <f t="shared" si="4"/>
        <v>6550</v>
      </c>
      <c r="F47" s="163">
        <f t="shared" si="5"/>
        <v>63379.951690821268</v>
      </c>
      <c r="G47" s="165">
        <f t="shared" si="6"/>
        <v>14230.27032966361</v>
      </c>
      <c r="H47" s="147">
        <f t="shared" si="7"/>
        <v>14230.27032966361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63379.951690821268</v>
      </c>
      <c r="E48" s="164">
        <f t="shared" si="4"/>
        <v>6550</v>
      </c>
      <c r="F48" s="163">
        <f t="shared" si="5"/>
        <v>56829.951690821268</v>
      </c>
      <c r="G48" s="165">
        <f t="shared" si="6"/>
        <v>13475.55114701924</v>
      </c>
      <c r="H48" s="147">
        <f t="shared" si="7"/>
        <v>13475.55114701924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56829.951690821268</v>
      </c>
      <c r="E49" s="164">
        <f t="shared" si="4"/>
        <v>6550</v>
      </c>
      <c r="F49" s="163">
        <f t="shared" si="5"/>
        <v>50279.951690821268</v>
      </c>
      <c r="G49" s="165">
        <f t="shared" si="6"/>
        <v>12720.831964374869</v>
      </c>
      <c r="H49" s="147">
        <f t="shared" si="7"/>
        <v>12720.831964374869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50279.951690821268</v>
      </c>
      <c r="E50" s="164">
        <f t="shared" si="4"/>
        <v>6550</v>
      </c>
      <c r="F50" s="163">
        <f t="shared" si="5"/>
        <v>43729.951690821268</v>
      </c>
      <c r="G50" s="165">
        <f t="shared" si="6"/>
        <v>11966.112781730499</v>
      </c>
      <c r="H50" s="147">
        <f t="shared" si="7"/>
        <v>11966.112781730499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43729.951690821268</v>
      </c>
      <c r="E51" s="164">
        <f t="shared" si="4"/>
        <v>6550</v>
      </c>
      <c r="F51" s="163">
        <f t="shared" si="5"/>
        <v>37179.951690821268</v>
      </c>
      <c r="G51" s="165">
        <f t="shared" si="6"/>
        <v>11211.393599086128</v>
      </c>
      <c r="H51" s="147">
        <f t="shared" si="7"/>
        <v>11211.393599086128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37179.951690821268</v>
      </c>
      <c r="E52" s="164">
        <f t="shared" si="4"/>
        <v>6550</v>
      </c>
      <c r="F52" s="163">
        <f t="shared" si="5"/>
        <v>30629.951690821268</v>
      </c>
      <c r="G52" s="165">
        <f t="shared" si="6"/>
        <v>10456.674416441756</v>
      </c>
      <c r="H52" s="147">
        <f t="shared" si="7"/>
        <v>10456.674416441756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30629.951690821268</v>
      </c>
      <c r="E53" s="164">
        <f t="shared" si="4"/>
        <v>6550</v>
      </c>
      <c r="F53" s="163">
        <f t="shared" si="5"/>
        <v>24079.951690821268</v>
      </c>
      <c r="G53" s="165">
        <f t="shared" si="6"/>
        <v>9701.9552337973855</v>
      </c>
      <c r="H53" s="147">
        <f t="shared" si="7"/>
        <v>9701.9552337973855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24079.951690821268</v>
      </c>
      <c r="E54" s="164">
        <f t="shared" si="4"/>
        <v>6550</v>
      </c>
      <c r="F54" s="163">
        <f t="shared" si="5"/>
        <v>17529.951690821268</v>
      </c>
      <c r="G54" s="165">
        <f t="shared" si="6"/>
        <v>8947.2360511530151</v>
      </c>
      <c r="H54" s="147">
        <f t="shared" si="7"/>
        <v>8947.2360511530151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17529.951690821268</v>
      </c>
      <c r="E55" s="164">
        <f t="shared" si="4"/>
        <v>6550</v>
      </c>
      <c r="F55" s="163">
        <f t="shared" si="5"/>
        <v>10979.951690821268</v>
      </c>
      <c r="G55" s="165">
        <f t="shared" si="6"/>
        <v>8192.5168685086446</v>
      </c>
      <c r="H55" s="147">
        <f t="shared" si="7"/>
        <v>8192.5168685086446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10979.951690821268</v>
      </c>
      <c r="E56" s="164">
        <f t="shared" si="4"/>
        <v>6550</v>
      </c>
      <c r="F56" s="163">
        <f t="shared" si="5"/>
        <v>4429.9516908212681</v>
      </c>
      <c r="G56" s="165">
        <f t="shared" si="6"/>
        <v>7437.7976858642733</v>
      </c>
      <c r="H56" s="147">
        <f t="shared" si="7"/>
        <v>7437.7976858642733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4429.9516908212681</v>
      </c>
      <c r="E57" s="164">
        <f t="shared" si="4"/>
        <v>4429.9516908212681</v>
      </c>
      <c r="F57" s="163">
        <f t="shared" si="5"/>
        <v>0</v>
      </c>
      <c r="G57" s="165">
        <f t="shared" si="6"/>
        <v>4685.1707380923117</v>
      </c>
      <c r="H57" s="147">
        <f t="shared" si="7"/>
        <v>4685.1707380923117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262000</v>
      </c>
      <c r="F73" s="115"/>
      <c r="G73" s="115">
        <f>SUM(G17:G72)</f>
        <v>873736.21241538413</v>
      </c>
      <c r="H73" s="115">
        <f>SUM(H17:H72)</f>
        <v>873736.21241538413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21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19337.763746241846</v>
      </c>
      <c r="N87" s="202">
        <f>IF(J92&lt;D11,0,VLOOKUP(J92,C17:O72,11))</f>
        <v>19337.763746241846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24350.848452847567</v>
      </c>
      <c r="N88" s="204">
        <f>IF(J92&lt;D11,0,VLOOKUP(J92,C99:P154,7))</f>
        <v>24350.848452847567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Darlington-Roman Nose 138 kV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5013.0847066057213</v>
      </c>
      <c r="N89" s="207">
        <f>+N88-N87</f>
        <v>5013.0847066057213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v>330824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7192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2017</v>
      </c>
      <c r="D99" s="158">
        <v>0</v>
      </c>
      <c r="E99" s="165">
        <f>IF(OR(D11=I10,D92&lt;100000),0,J$96/12*(12-D94))</f>
        <v>3596</v>
      </c>
      <c r="F99" s="163">
        <f>IF(D93=C99,+D92-E99,+D99-E99)</f>
        <v>327228</v>
      </c>
      <c r="G99" s="218">
        <f>+(F99+D99)/2</f>
        <v>163614</v>
      </c>
      <c r="H99" s="218">
        <f t="shared" ref="H99:H154" si="9">+J$94*G99+E99</f>
        <v>24350.848452847567</v>
      </c>
      <c r="I99" s="218">
        <f>+J$95*G99+E99</f>
        <v>24350.848452847567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>
        <f>IF(D93="","-",+C99+1)</f>
        <v>2018</v>
      </c>
      <c r="D100" s="158">
        <f>IF(F99+SUM(E$99:E99)=D$92,F99,D$92-SUM(E$99:E99))</f>
        <v>327228</v>
      </c>
      <c r="E100" s="164">
        <f>IF(+J$96&lt;F99,J$96,D100)</f>
        <v>7192</v>
      </c>
      <c r="F100" s="163">
        <f>+D100-E100</f>
        <v>320036</v>
      </c>
      <c r="G100" s="163">
        <f>+(F100+D100)/2</f>
        <v>323632</v>
      </c>
      <c r="H100" s="333">
        <f t="shared" si="9"/>
        <v>48245.535238377917</v>
      </c>
      <c r="I100" s="344">
        <f t="shared" ref="I100:I154" si="14">+J$95*G100+E100</f>
        <v>48245.535238377917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2019</v>
      </c>
      <c r="D101" s="158">
        <f>IF(F100+SUM(E$99:E100)=D$92,F100,D$92-SUM(E$99:E100))</f>
        <v>320036</v>
      </c>
      <c r="E101" s="164">
        <f t="shared" ref="E101:E154" si="16">IF(+J$96&lt;F100,J$96,D101)</f>
        <v>7192</v>
      </c>
      <c r="F101" s="163">
        <f t="shared" ref="F101:F154" si="17">+D101-E101</f>
        <v>312844</v>
      </c>
      <c r="G101" s="163">
        <f t="shared" ref="G101:G154" si="18">+(F101+D101)/2</f>
        <v>316440</v>
      </c>
      <c r="H101" s="333">
        <f t="shared" si="9"/>
        <v>47333.211903743475</v>
      </c>
      <c r="I101" s="344">
        <f t="shared" si="14"/>
        <v>47333.211903743475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>
        <f>IF(D93="","-",+C101+1)</f>
        <v>2020</v>
      </c>
      <c r="D102" s="158">
        <f>IF(F101+SUM(E$99:E101)=D$92,F101,D$92-SUM(E$99:E101))</f>
        <v>312844</v>
      </c>
      <c r="E102" s="164">
        <f t="shared" si="16"/>
        <v>7192</v>
      </c>
      <c r="F102" s="163">
        <f t="shared" si="17"/>
        <v>305652</v>
      </c>
      <c r="G102" s="163">
        <f t="shared" si="18"/>
        <v>309248</v>
      </c>
      <c r="H102" s="333">
        <f t="shared" si="9"/>
        <v>46420.888569109033</v>
      </c>
      <c r="I102" s="344">
        <f t="shared" si="14"/>
        <v>46420.888569109033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>
        <f>IF(D93="","-",+C102+1)</f>
        <v>2021</v>
      </c>
      <c r="D103" s="158">
        <f>IF(F102+SUM(E$99:E102)=D$92,F102,D$92-SUM(E$99:E102))</f>
        <v>305652</v>
      </c>
      <c r="E103" s="164">
        <f t="shared" si="16"/>
        <v>7192</v>
      </c>
      <c r="F103" s="163">
        <f t="shared" si="17"/>
        <v>298460</v>
      </c>
      <c r="G103" s="163">
        <f t="shared" si="18"/>
        <v>302056</v>
      </c>
      <c r="H103" s="333">
        <f t="shared" si="9"/>
        <v>45508.56523447459</v>
      </c>
      <c r="I103" s="344">
        <f t="shared" si="14"/>
        <v>45508.56523447459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>
        <f>IF(D93="","-",+C103+1)</f>
        <v>2022</v>
      </c>
      <c r="D104" s="158">
        <f>IF(F103+SUM(E$99:E103)=D$92,F103,D$92-SUM(E$99:E103))</f>
        <v>298460</v>
      </c>
      <c r="E104" s="164">
        <f t="shared" si="16"/>
        <v>7192</v>
      </c>
      <c r="F104" s="163">
        <f t="shared" si="17"/>
        <v>291268</v>
      </c>
      <c r="G104" s="163">
        <f t="shared" si="18"/>
        <v>294864</v>
      </c>
      <c r="H104" s="333">
        <f t="shared" si="9"/>
        <v>44596.241899840148</v>
      </c>
      <c r="I104" s="344">
        <f t="shared" si="14"/>
        <v>44596.241899840148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>
        <f>IF(D93="","-",+C104+1)</f>
        <v>2023</v>
      </c>
      <c r="D105" s="158">
        <f>IF(F104+SUM(E$99:E104)=D$92,F104,D$92-SUM(E$99:E104))</f>
        <v>291268</v>
      </c>
      <c r="E105" s="164">
        <f t="shared" si="16"/>
        <v>7192</v>
      </c>
      <c r="F105" s="163">
        <f t="shared" si="17"/>
        <v>284076</v>
      </c>
      <c r="G105" s="163">
        <f t="shared" si="18"/>
        <v>287672</v>
      </c>
      <c r="H105" s="333">
        <f t="shared" si="9"/>
        <v>43683.918565205706</v>
      </c>
      <c r="I105" s="344">
        <f t="shared" si="14"/>
        <v>43683.918565205706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>
        <f>IF(D93="","-",+C105+1)</f>
        <v>2024</v>
      </c>
      <c r="D106" s="158">
        <f>IF(F105+SUM(E$99:E105)=D$92,F105,D$92-SUM(E$99:E105))</f>
        <v>284076</v>
      </c>
      <c r="E106" s="164">
        <f t="shared" si="16"/>
        <v>7192</v>
      </c>
      <c r="F106" s="163">
        <f t="shared" si="17"/>
        <v>276884</v>
      </c>
      <c r="G106" s="163">
        <f t="shared" si="18"/>
        <v>280480</v>
      </c>
      <c r="H106" s="333">
        <f t="shared" si="9"/>
        <v>42771.595230571256</v>
      </c>
      <c r="I106" s="344">
        <f t="shared" si="14"/>
        <v>42771.595230571256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>
        <f>IF(D93="","-",+C106+1)</f>
        <v>2025</v>
      </c>
      <c r="D107" s="158">
        <f>IF(F106+SUM(E$99:E106)=D$92,F106,D$92-SUM(E$99:E106))</f>
        <v>276884</v>
      </c>
      <c r="E107" s="164">
        <f t="shared" si="16"/>
        <v>7192</v>
      </c>
      <c r="F107" s="163">
        <f t="shared" si="17"/>
        <v>269692</v>
      </c>
      <c r="G107" s="163">
        <f t="shared" si="18"/>
        <v>273288</v>
      </c>
      <c r="H107" s="333">
        <f t="shared" si="9"/>
        <v>41859.271895936814</v>
      </c>
      <c r="I107" s="344">
        <f t="shared" si="14"/>
        <v>41859.271895936814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>
        <f>IF(D93="","-",+C107+1)</f>
        <v>2026</v>
      </c>
      <c r="D108" s="158">
        <f>IF(F107+SUM(E$99:E107)=D$92,F107,D$92-SUM(E$99:E107))</f>
        <v>269692</v>
      </c>
      <c r="E108" s="164">
        <f t="shared" si="16"/>
        <v>7192</v>
      </c>
      <c r="F108" s="163">
        <f t="shared" si="17"/>
        <v>262500</v>
      </c>
      <c r="G108" s="163">
        <f t="shared" si="18"/>
        <v>266096</v>
      </c>
      <c r="H108" s="333">
        <f t="shared" si="9"/>
        <v>40946.948561302372</v>
      </c>
      <c r="I108" s="344">
        <f t="shared" si="14"/>
        <v>40946.948561302372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>
        <f>IF(D93="","-",+C108+1)</f>
        <v>2027</v>
      </c>
      <c r="D109" s="158">
        <f>IF(F108+SUM(E$99:E108)=D$92,F108,D$92-SUM(E$99:E108))</f>
        <v>262500</v>
      </c>
      <c r="E109" s="164">
        <f t="shared" si="16"/>
        <v>7192</v>
      </c>
      <c r="F109" s="163">
        <f t="shared" si="17"/>
        <v>255308</v>
      </c>
      <c r="G109" s="163">
        <f t="shared" si="18"/>
        <v>258904</v>
      </c>
      <c r="H109" s="333">
        <f t="shared" si="9"/>
        <v>40034.625226667929</v>
      </c>
      <c r="I109" s="344">
        <f t="shared" si="14"/>
        <v>40034.625226667929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>
        <f>IF(D93="","-",+C109+1)</f>
        <v>2028</v>
      </c>
      <c r="D110" s="158">
        <f>IF(F109+SUM(E$99:E109)=D$92,F109,D$92-SUM(E$99:E109))</f>
        <v>255308</v>
      </c>
      <c r="E110" s="164">
        <f t="shared" si="16"/>
        <v>7192</v>
      </c>
      <c r="F110" s="163">
        <f t="shared" si="17"/>
        <v>248116</v>
      </c>
      <c r="G110" s="163">
        <f t="shared" si="18"/>
        <v>251712</v>
      </c>
      <c r="H110" s="333">
        <f t="shared" si="9"/>
        <v>39122.301892033487</v>
      </c>
      <c r="I110" s="344">
        <f t="shared" si="14"/>
        <v>39122.301892033487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>
        <f>IF(D93="","-",+C110+1)</f>
        <v>2029</v>
      </c>
      <c r="D111" s="158">
        <f>IF(F110+SUM(E$99:E110)=D$92,F110,D$92-SUM(E$99:E110))</f>
        <v>248116</v>
      </c>
      <c r="E111" s="164">
        <f t="shared" si="16"/>
        <v>7192</v>
      </c>
      <c r="F111" s="163">
        <f t="shared" si="17"/>
        <v>240924</v>
      </c>
      <c r="G111" s="163">
        <f t="shared" si="18"/>
        <v>244520</v>
      </c>
      <c r="H111" s="333">
        <f t="shared" si="9"/>
        <v>38209.978557399045</v>
      </c>
      <c r="I111" s="344">
        <f t="shared" si="14"/>
        <v>38209.978557399045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>
        <f>IF(D93="","-",+C111+1)</f>
        <v>2030</v>
      </c>
      <c r="D112" s="158">
        <f>IF(F111+SUM(E$99:E111)=D$92,F111,D$92-SUM(E$99:E111))</f>
        <v>240924</v>
      </c>
      <c r="E112" s="164">
        <f t="shared" si="16"/>
        <v>7192</v>
      </c>
      <c r="F112" s="163">
        <f t="shared" si="17"/>
        <v>233732</v>
      </c>
      <c r="G112" s="163">
        <f t="shared" si="18"/>
        <v>237328</v>
      </c>
      <c r="H112" s="333">
        <f t="shared" si="9"/>
        <v>37297.655222764603</v>
      </c>
      <c r="I112" s="344">
        <f t="shared" si="14"/>
        <v>37297.655222764603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>
        <f>IF(D93="","-",+C112+1)</f>
        <v>2031</v>
      </c>
      <c r="D113" s="158">
        <f>IF(F112+SUM(E$99:E112)=D$92,F112,D$92-SUM(E$99:E112))</f>
        <v>233732</v>
      </c>
      <c r="E113" s="164">
        <f t="shared" si="16"/>
        <v>7192</v>
      </c>
      <c r="F113" s="163">
        <f t="shared" si="17"/>
        <v>226540</v>
      </c>
      <c r="G113" s="163">
        <f t="shared" si="18"/>
        <v>230136</v>
      </c>
      <c r="H113" s="333">
        <f t="shared" si="9"/>
        <v>36385.33188813016</v>
      </c>
      <c r="I113" s="344">
        <f t="shared" si="14"/>
        <v>36385.33188813016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>
        <f>IF(D93="","-",+C113+1)</f>
        <v>2032</v>
      </c>
      <c r="D114" s="158">
        <f>IF(F113+SUM(E$99:E113)=D$92,F113,D$92-SUM(E$99:E113))</f>
        <v>226540</v>
      </c>
      <c r="E114" s="164">
        <f t="shared" si="16"/>
        <v>7192</v>
      </c>
      <c r="F114" s="163">
        <f t="shared" si="17"/>
        <v>219348</v>
      </c>
      <c r="G114" s="163">
        <f t="shared" si="18"/>
        <v>222944</v>
      </c>
      <c r="H114" s="333">
        <f t="shared" si="9"/>
        <v>35473.008553495718</v>
      </c>
      <c r="I114" s="344">
        <f t="shared" si="14"/>
        <v>35473.008553495718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>
        <f>IF(D93="","-",+C114+1)</f>
        <v>2033</v>
      </c>
      <c r="D115" s="158">
        <f>IF(F114+SUM(E$99:E114)=D$92,F114,D$92-SUM(E$99:E114))</f>
        <v>219348</v>
      </c>
      <c r="E115" s="164">
        <f t="shared" si="16"/>
        <v>7192</v>
      </c>
      <c r="F115" s="163">
        <f t="shared" si="17"/>
        <v>212156</v>
      </c>
      <c r="G115" s="163">
        <f t="shared" si="18"/>
        <v>215752</v>
      </c>
      <c r="H115" s="333">
        <f t="shared" si="9"/>
        <v>34560.685218861276</v>
      </c>
      <c r="I115" s="344">
        <f t="shared" si="14"/>
        <v>34560.685218861276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>
        <f>IF(D93="","-",+C115+1)</f>
        <v>2034</v>
      </c>
      <c r="D116" s="158">
        <f>IF(F115+SUM(E$99:E115)=D$92,F115,D$92-SUM(E$99:E115))</f>
        <v>212156</v>
      </c>
      <c r="E116" s="164">
        <f t="shared" si="16"/>
        <v>7192</v>
      </c>
      <c r="F116" s="163">
        <f t="shared" si="17"/>
        <v>204964</v>
      </c>
      <c r="G116" s="163">
        <f t="shared" si="18"/>
        <v>208560</v>
      </c>
      <c r="H116" s="333">
        <f t="shared" si="9"/>
        <v>33648.361884226833</v>
      </c>
      <c r="I116" s="344">
        <f t="shared" si="14"/>
        <v>33648.361884226833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>
        <f>IF(D93="","-",+C116+1)</f>
        <v>2035</v>
      </c>
      <c r="D117" s="158">
        <f>IF(F116+SUM(E$99:E116)=D$92,F116,D$92-SUM(E$99:E116))</f>
        <v>204964</v>
      </c>
      <c r="E117" s="164">
        <f t="shared" si="16"/>
        <v>7192</v>
      </c>
      <c r="F117" s="163">
        <f t="shared" si="17"/>
        <v>197772</v>
      </c>
      <c r="G117" s="163">
        <f t="shared" si="18"/>
        <v>201368</v>
      </c>
      <c r="H117" s="333">
        <f t="shared" si="9"/>
        <v>32736.038549592391</v>
      </c>
      <c r="I117" s="344">
        <f t="shared" si="14"/>
        <v>32736.038549592391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>
        <f>IF(D93="","-",+C117+1)</f>
        <v>2036</v>
      </c>
      <c r="D118" s="158">
        <f>IF(F117+SUM(E$99:E117)=D$92,F117,D$92-SUM(E$99:E117))</f>
        <v>197772</v>
      </c>
      <c r="E118" s="164">
        <f t="shared" si="16"/>
        <v>7192</v>
      </c>
      <c r="F118" s="163">
        <f t="shared" si="17"/>
        <v>190580</v>
      </c>
      <c r="G118" s="163">
        <f t="shared" si="18"/>
        <v>194176</v>
      </c>
      <c r="H118" s="333">
        <f t="shared" si="9"/>
        <v>31823.715214957945</v>
      </c>
      <c r="I118" s="344">
        <f t="shared" si="14"/>
        <v>31823.715214957945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>
        <f>IF(D93="","-",+C118+1)</f>
        <v>2037</v>
      </c>
      <c r="D119" s="158">
        <f>IF(F118+SUM(E$99:E118)=D$92,F118,D$92-SUM(E$99:E118))</f>
        <v>190580</v>
      </c>
      <c r="E119" s="164">
        <f t="shared" si="16"/>
        <v>7192</v>
      </c>
      <c r="F119" s="163">
        <f t="shared" si="17"/>
        <v>183388</v>
      </c>
      <c r="G119" s="163">
        <f t="shared" si="18"/>
        <v>186984</v>
      </c>
      <c r="H119" s="333">
        <f t="shared" si="9"/>
        <v>30911.391880323503</v>
      </c>
      <c r="I119" s="344">
        <f t="shared" si="14"/>
        <v>30911.391880323503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>
        <f>IF(D93="","-",+C119+1)</f>
        <v>2038</v>
      </c>
      <c r="D120" s="158">
        <f>IF(F119+SUM(E$99:E119)=D$92,F119,D$92-SUM(E$99:E119))</f>
        <v>183388</v>
      </c>
      <c r="E120" s="164">
        <f t="shared" si="16"/>
        <v>7192</v>
      </c>
      <c r="F120" s="163">
        <f t="shared" si="17"/>
        <v>176196</v>
      </c>
      <c r="G120" s="163">
        <f t="shared" si="18"/>
        <v>179792</v>
      </c>
      <c r="H120" s="333">
        <f t="shared" si="9"/>
        <v>29999.068545689061</v>
      </c>
      <c r="I120" s="344">
        <f t="shared" si="14"/>
        <v>29999.068545689061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>
        <f>IF(D93="","-",+C120+1)</f>
        <v>2039</v>
      </c>
      <c r="D121" s="158">
        <f>IF(F120+SUM(E$99:E120)=D$92,F120,D$92-SUM(E$99:E120))</f>
        <v>176196</v>
      </c>
      <c r="E121" s="164">
        <f t="shared" si="16"/>
        <v>7192</v>
      </c>
      <c r="F121" s="163">
        <f t="shared" si="17"/>
        <v>169004</v>
      </c>
      <c r="G121" s="163">
        <f t="shared" si="18"/>
        <v>172600</v>
      </c>
      <c r="H121" s="333">
        <f t="shared" si="9"/>
        <v>29086.745211054618</v>
      </c>
      <c r="I121" s="344">
        <f t="shared" si="14"/>
        <v>29086.745211054618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>
        <f>IF(D93="","-",+C121+1)</f>
        <v>2040</v>
      </c>
      <c r="D122" s="158">
        <f>IF(F121+SUM(E$99:E121)=D$92,F121,D$92-SUM(E$99:E121))</f>
        <v>169004</v>
      </c>
      <c r="E122" s="164">
        <f t="shared" si="16"/>
        <v>7192</v>
      </c>
      <c r="F122" s="163">
        <f t="shared" si="17"/>
        <v>161812</v>
      </c>
      <c r="G122" s="163">
        <f t="shared" si="18"/>
        <v>165408</v>
      </c>
      <c r="H122" s="333">
        <f t="shared" si="9"/>
        <v>28174.421876420176</v>
      </c>
      <c r="I122" s="344">
        <f t="shared" si="14"/>
        <v>28174.421876420176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>
        <f>IF(D93="","-",+C122+1)</f>
        <v>2041</v>
      </c>
      <c r="D123" s="158">
        <f>IF(F122+SUM(E$99:E122)=D$92,F122,D$92-SUM(E$99:E122))</f>
        <v>161812</v>
      </c>
      <c r="E123" s="164">
        <f t="shared" si="16"/>
        <v>7192</v>
      </c>
      <c r="F123" s="163">
        <f t="shared" si="17"/>
        <v>154620</v>
      </c>
      <c r="G123" s="163">
        <f t="shared" si="18"/>
        <v>158216</v>
      </c>
      <c r="H123" s="333">
        <f t="shared" si="9"/>
        <v>27262.098541785734</v>
      </c>
      <c r="I123" s="344">
        <f t="shared" si="14"/>
        <v>27262.098541785734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>
        <f>IF(D93="","-",+C123+1)</f>
        <v>2042</v>
      </c>
      <c r="D124" s="158">
        <f>IF(F123+SUM(E$99:E123)=D$92,F123,D$92-SUM(E$99:E123))</f>
        <v>154620</v>
      </c>
      <c r="E124" s="164">
        <f t="shared" si="16"/>
        <v>7192</v>
      </c>
      <c r="F124" s="163">
        <f t="shared" si="17"/>
        <v>147428</v>
      </c>
      <c r="G124" s="163">
        <f t="shared" si="18"/>
        <v>151024</v>
      </c>
      <c r="H124" s="333">
        <f t="shared" si="9"/>
        <v>26349.775207151291</v>
      </c>
      <c r="I124" s="344">
        <f t="shared" si="14"/>
        <v>26349.775207151291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>
        <f>IF(D93="","-",+C124+1)</f>
        <v>2043</v>
      </c>
      <c r="D125" s="158">
        <f>IF(F124+SUM(E$99:E124)=D$92,F124,D$92-SUM(E$99:E124))</f>
        <v>147428</v>
      </c>
      <c r="E125" s="164">
        <f t="shared" si="16"/>
        <v>7192</v>
      </c>
      <c r="F125" s="163">
        <f t="shared" si="17"/>
        <v>140236</v>
      </c>
      <c r="G125" s="163">
        <f t="shared" si="18"/>
        <v>143832</v>
      </c>
      <c r="H125" s="333">
        <f t="shared" si="9"/>
        <v>25437.451872516849</v>
      </c>
      <c r="I125" s="344">
        <f t="shared" si="14"/>
        <v>25437.451872516849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>
        <f>IF(D93="","-",+C125+1)</f>
        <v>2044</v>
      </c>
      <c r="D126" s="158">
        <f>IF(F125+SUM(E$99:E125)=D$92,F125,D$92-SUM(E$99:E125))</f>
        <v>140236</v>
      </c>
      <c r="E126" s="164">
        <f t="shared" si="16"/>
        <v>7192</v>
      </c>
      <c r="F126" s="163">
        <f t="shared" si="17"/>
        <v>133044</v>
      </c>
      <c r="G126" s="163">
        <f t="shared" si="18"/>
        <v>136640</v>
      </c>
      <c r="H126" s="333">
        <f t="shared" si="9"/>
        <v>24525.128537882403</v>
      </c>
      <c r="I126" s="344">
        <f t="shared" si="14"/>
        <v>24525.128537882403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>
        <f>IF(D93="","-",+C126+1)</f>
        <v>2045</v>
      </c>
      <c r="D127" s="158">
        <f>IF(F126+SUM(E$99:E126)=D$92,F126,D$92-SUM(E$99:E126))</f>
        <v>133044</v>
      </c>
      <c r="E127" s="164">
        <f t="shared" si="16"/>
        <v>7192</v>
      </c>
      <c r="F127" s="163">
        <f t="shared" si="17"/>
        <v>125852</v>
      </c>
      <c r="G127" s="163">
        <f t="shared" si="18"/>
        <v>129448</v>
      </c>
      <c r="H127" s="333">
        <f t="shared" si="9"/>
        <v>23612.805203247961</v>
      </c>
      <c r="I127" s="344">
        <f t="shared" si="14"/>
        <v>23612.805203247961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>
        <f>IF(D93="","-",+C127+1)</f>
        <v>2046</v>
      </c>
      <c r="D128" s="158">
        <f>IF(F127+SUM(E$99:E127)=D$92,F127,D$92-SUM(E$99:E127))</f>
        <v>125852</v>
      </c>
      <c r="E128" s="164">
        <f t="shared" si="16"/>
        <v>7192</v>
      </c>
      <c r="F128" s="163">
        <f t="shared" si="17"/>
        <v>118660</v>
      </c>
      <c r="G128" s="163">
        <f t="shared" si="18"/>
        <v>122256</v>
      </c>
      <c r="H128" s="333">
        <f t="shared" si="9"/>
        <v>22700.481868613519</v>
      </c>
      <c r="I128" s="344">
        <f t="shared" si="14"/>
        <v>22700.481868613519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>
        <f>IF(D93="","-",+C128+1)</f>
        <v>2047</v>
      </c>
      <c r="D129" s="158">
        <f>IF(F128+SUM(E$99:E128)=D$92,F128,D$92-SUM(E$99:E128))</f>
        <v>118660</v>
      </c>
      <c r="E129" s="164">
        <f t="shared" si="16"/>
        <v>7192</v>
      </c>
      <c r="F129" s="163">
        <f t="shared" si="17"/>
        <v>111468</v>
      </c>
      <c r="G129" s="163">
        <f t="shared" si="18"/>
        <v>115064</v>
      </c>
      <c r="H129" s="333">
        <f t="shared" si="9"/>
        <v>21788.158533979076</v>
      </c>
      <c r="I129" s="344">
        <f t="shared" si="14"/>
        <v>21788.158533979076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>
        <f>IF(D93="","-",+C129+1)</f>
        <v>2048</v>
      </c>
      <c r="D130" s="158">
        <f>IF(F129+SUM(E$99:E129)=D$92,F129,D$92-SUM(E$99:E129))</f>
        <v>111468</v>
      </c>
      <c r="E130" s="164">
        <f t="shared" si="16"/>
        <v>7192</v>
      </c>
      <c r="F130" s="163">
        <f t="shared" si="17"/>
        <v>104276</v>
      </c>
      <c r="G130" s="163">
        <f t="shared" si="18"/>
        <v>107872</v>
      </c>
      <c r="H130" s="333">
        <f t="shared" si="9"/>
        <v>20875.835199344634</v>
      </c>
      <c r="I130" s="344">
        <f t="shared" si="14"/>
        <v>20875.835199344634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>
        <f>IF(D93="","-",+C130+1)</f>
        <v>2049</v>
      </c>
      <c r="D131" s="158">
        <f>IF(F130+SUM(E$99:E130)=D$92,F130,D$92-SUM(E$99:E130))</f>
        <v>104276</v>
      </c>
      <c r="E131" s="164">
        <f t="shared" si="16"/>
        <v>7192</v>
      </c>
      <c r="F131" s="163">
        <f t="shared" si="17"/>
        <v>97084</v>
      </c>
      <c r="G131" s="163">
        <f t="shared" si="18"/>
        <v>100680</v>
      </c>
      <c r="H131" s="333">
        <f t="shared" si="9"/>
        <v>19963.511864710192</v>
      </c>
      <c r="I131" s="344">
        <f t="shared" si="14"/>
        <v>19963.511864710192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2050</v>
      </c>
      <c r="D132" s="158">
        <f>IF(F131+SUM(E$99:E131)=D$92,F131,D$92-SUM(E$99:E131))</f>
        <v>97084</v>
      </c>
      <c r="E132" s="164">
        <f t="shared" si="16"/>
        <v>7192</v>
      </c>
      <c r="F132" s="163">
        <f t="shared" si="17"/>
        <v>89892</v>
      </c>
      <c r="G132" s="163">
        <f t="shared" si="18"/>
        <v>93488</v>
      </c>
      <c r="H132" s="333">
        <f t="shared" si="9"/>
        <v>19051.188530075749</v>
      </c>
      <c r="I132" s="344">
        <f t="shared" si="14"/>
        <v>19051.188530075749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2051</v>
      </c>
      <c r="D133" s="158">
        <f>IF(F132+SUM(E$99:E132)=D$92,F132,D$92-SUM(E$99:E132))</f>
        <v>89892</v>
      </c>
      <c r="E133" s="164">
        <f t="shared" si="16"/>
        <v>7192</v>
      </c>
      <c r="F133" s="163">
        <f t="shared" si="17"/>
        <v>82700</v>
      </c>
      <c r="G133" s="163">
        <f t="shared" si="18"/>
        <v>86296</v>
      </c>
      <c r="H133" s="333">
        <f t="shared" si="9"/>
        <v>18138.865195441307</v>
      </c>
      <c r="I133" s="344">
        <f t="shared" si="14"/>
        <v>18138.865195441307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2052</v>
      </c>
      <c r="D134" s="158">
        <f>IF(F133+SUM(E$99:E133)=D$92,F133,D$92-SUM(E$99:E133))</f>
        <v>82700</v>
      </c>
      <c r="E134" s="164">
        <f t="shared" si="16"/>
        <v>7192</v>
      </c>
      <c r="F134" s="163">
        <f t="shared" si="17"/>
        <v>75508</v>
      </c>
      <c r="G134" s="163">
        <f t="shared" si="18"/>
        <v>79104</v>
      </c>
      <c r="H134" s="333">
        <f t="shared" si="9"/>
        <v>17226.541860806865</v>
      </c>
      <c r="I134" s="344">
        <f t="shared" si="14"/>
        <v>17226.541860806865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2053</v>
      </c>
      <c r="D135" s="158">
        <f>IF(F134+SUM(E$99:E134)=D$92,F134,D$92-SUM(E$99:E134))</f>
        <v>75508</v>
      </c>
      <c r="E135" s="164">
        <f t="shared" si="16"/>
        <v>7192</v>
      </c>
      <c r="F135" s="163">
        <f t="shared" si="17"/>
        <v>68316</v>
      </c>
      <c r="G135" s="163">
        <f t="shared" si="18"/>
        <v>71912</v>
      </c>
      <c r="H135" s="333">
        <f t="shared" si="9"/>
        <v>16314.218526172421</v>
      </c>
      <c r="I135" s="344">
        <f t="shared" si="14"/>
        <v>16314.218526172421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2054</v>
      </c>
      <c r="D136" s="158">
        <f>IF(F135+SUM(E$99:E135)=D$92,F135,D$92-SUM(E$99:E135))</f>
        <v>68316</v>
      </c>
      <c r="E136" s="164">
        <f t="shared" si="16"/>
        <v>7192</v>
      </c>
      <c r="F136" s="163">
        <f t="shared" si="17"/>
        <v>61124</v>
      </c>
      <c r="G136" s="163">
        <f t="shared" si="18"/>
        <v>64720</v>
      </c>
      <c r="H136" s="333">
        <f t="shared" si="9"/>
        <v>15401.895191537977</v>
      </c>
      <c r="I136" s="344">
        <f t="shared" si="14"/>
        <v>15401.895191537977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2055</v>
      </c>
      <c r="D137" s="158">
        <f>IF(F136+SUM(E$99:E136)=D$92,F136,D$92-SUM(E$99:E136))</f>
        <v>61124</v>
      </c>
      <c r="E137" s="164">
        <f t="shared" si="16"/>
        <v>7192</v>
      </c>
      <c r="F137" s="163">
        <f t="shared" si="17"/>
        <v>53932</v>
      </c>
      <c r="G137" s="163">
        <f t="shared" si="18"/>
        <v>57528</v>
      </c>
      <c r="H137" s="333">
        <f t="shared" si="9"/>
        <v>14489.571856903534</v>
      </c>
      <c r="I137" s="344">
        <f t="shared" si="14"/>
        <v>14489.571856903534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2056</v>
      </c>
      <c r="D138" s="158">
        <f>IF(F137+SUM(E$99:E137)=D$92,F137,D$92-SUM(E$99:E137))</f>
        <v>53932</v>
      </c>
      <c r="E138" s="164">
        <f t="shared" si="16"/>
        <v>7192</v>
      </c>
      <c r="F138" s="163">
        <f t="shared" si="17"/>
        <v>46740</v>
      </c>
      <c r="G138" s="163">
        <f t="shared" si="18"/>
        <v>50336</v>
      </c>
      <c r="H138" s="333">
        <f t="shared" si="9"/>
        <v>13577.248522269092</v>
      </c>
      <c r="I138" s="344">
        <f t="shared" si="14"/>
        <v>13577.248522269092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2057</v>
      </c>
      <c r="D139" s="158">
        <f>IF(F138+SUM(E$99:E138)=D$92,F138,D$92-SUM(E$99:E138))</f>
        <v>46740</v>
      </c>
      <c r="E139" s="164">
        <f t="shared" si="16"/>
        <v>7192</v>
      </c>
      <c r="F139" s="163">
        <f t="shared" si="17"/>
        <v>39548</v>
      </c>
      <c r="G139" s="163">
        <f t="shared" si="18"/>
        <v>43144</v>
      </c>
      <c r="H139" s="333">
        <f t="shared" si="9"/>
        <v>12664.92518763465</v>
      </c>
      <c r="I139" s="344">
        <f t="shared" si="14"/>
        <v>12664.92518763465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2058</v>
      </c>
      <c r="D140" s="158">
        <f>IF(F139+SUM(E$99:E139)=D$92,F139,D$92-SUM(E$99:E139))</f>
        <v>39548</v>
      </c>
      <c r="E140" s="164">
        <f t="shared" si="16"/>
        <v>7192</v>
      </c>
      <c r="F140" s="163">
        <f t="shared" si="17"/>
        <v>32356</v>
      </c>
      <c r="G140" s="163">
        <f t="shared" si="18"/>
        <v>35952</v>
      </c>
      <c r="H140" s="333">
        <f t="shared" si="9"/>
        <v>11752.601853000207</v>
      </c>
      <c r="I140" s="344">
        <f t="shared" si="14"/>
        <v>11752.601853000207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2059</v>
      </c>
      <c r="D141" s="158">
        <f>IF(F140+SUM(E$99:E140)=D$92,F140,D$92-SUM(E$99:E140))</f>
        <v>32356</v>
      </c>
      <c r="E141" s="164">
        <f t="shared" si="16"/>
        <v>7192</v>
      </c>
      <c r="F141" s="163">
        <f t="shared" si="17"/>
        <v>25164</v>
      </c>
      <c r="G141" s="163">
        <f t="shared" si="18"/>
        <v>28760</v>
      </c>
      <c r="H141" s="333">
        <f t="shared" si="9"/>
        <v>10840.278518365763</v>
      </c>
      <c r="I141" s="344">
        <f t="shared" si="14"/>
        <v>10840.278518365763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2060</v>
      </c>
      <c r="D142" s="158">
        <f>IF(F141+SUM(E$99:E141)=D$92,F141,D$92-SUM(E$99:E141))</f>
        <v>25164</v>
      </c>
      <c r="E142" s="164">
        <f t="shared" si="16"/>
        <v>7192</v>
      </c>
      <c r="F142" s="163">
        <f t="shared" si="17"/>
        <v>17972</v>
      </c>
      <c r="G142" s="163">
        <f t="shared" si="18"/>
        <v>21568</v>
      </c>
      <c r="H142" s="333">
        <f t="shared" si="9"/>
        <v>9927.9551837313211</v>
      </c>
      <c r="I142" s="344">
        <f t="shared" si="14"/>
        <v>9927.9551837313211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2061</v>
      </c>
      <c r="D143" s="158">
        <f>IF(F142+SUM(E$99:E142)=D$92,F142,D$92-SUM(E$99:E142))</f>
        <v>17972</v>
      </c>
      <c r="E143" s="164">
        <f t="shared" si="16"/>
        <v>7192</v>
      </c>
      <c r="F143" s="163">
        <f t="shared" si="17"/>
        <v>10780</v>
      </c>
      <c r="G143" s="163">
        <f t="shared" si="18"/>
        <v>14376</v>
      </c>
      <c r="H143" s="333">
        <f t="shared" si="9"/>
        <v>9015.6318490968788</v>
      </c>
      <c r="I143" s="344">
        <f t="shared" si="14"/>
        <v>9015.6318490968788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2062</v>
      </c>
      <c r="D144" s="158">
        <f>IF(F143+SUM(E$99:E143)=D$92,F143,D$92-SUM(E$99:E143))</f>
        <v>10780</v>
      </c>
      <c r="E144" s="164">
        <f t="shared" si="16"/>
        <v>7192</v>
      </c>
      <c r="F144" s="163">
        <f t="shared" si="17"/>
        <v>3588</v>
      </c>
      <c r="G144" s="163">
        <f t="shared" si="18"/>
        <v>7184</v>
      </c>
      <c r="H144" s="333">
        <f t="shared" si="9"/>
        <v>8103.3085144624356</v>
      </c>
      <c r="I144" s="344">
        <f t="shared" si="14"/>
        <v>8103.3085144624356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2063</v>
      </c>
      <c r="D145" s="158">
        <f>IF(F144+SUM(E$99:E144)=D$92,F144,D$92-SUM(E$99:E144))</f>
        <v>3588</v>
      </c>
      <c r="E145" s="164">
        <f t="shared" si="16"/>
        <v>3588</v>
      </c>
      <c r="F145" s="163">
        <f t="shared" si="17"/>
        <v>0</v>
      </c>
      <c r="G145" s="163">
        <f t="shared" si="18"/>
        <v>1794</v>
      </c>
      <c r="H145" s="333">
        <f t="shared" si="9"/>
        <v>3815.5734235726072</v>
      </c>
      <c r="I145" s="344">
        <f t="shared" si="14"/>
        <v>3815.5734235726072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2064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2065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2066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2067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2068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2069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2070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2071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2072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330824</v>
      </c>
      <c r="F155" s="115"/>
      <c r="G155" s="115"/>
      <c r="H155" s="115">
        <f>SUM(H99:H154)</f>
        <v>1296015.4063153279</v>
      </c>
      <c r="I155" s="115">
        <f>SUM(I99:I154)</f>
        <v>1296015.4063153279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5" priority="1" stopIfTrue="1" operator="equal">
      <formula>$I$10</formula>
    </cfRule>
  </conditionalFormatting>
  <conditionalFormatting sqref="C99:C154">
    <cfRule type="cellIs" dxfId="14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P162"/>
  <sheetViews>
    <sheetView view="pageBreakPreview" topLeftCell="A61" zoomScale="78" zoomScaleNormal="100" zoomScaleSheetLayoutView="78" workbookViewId="0">
      <selection activeCell="A82" sqref="A82:XFD82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22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33550.909846767216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33550.909846767216</v>
      </c>
      <c r="O6" s="1"/>
      <c r="P6" s="1"/>
    </row>
    <row r="7" spans="1:16" ht="13.5" thickBot="1">
      <c r="C7" s="127" t="s">
        <v>41</v>
      </c>
      <c r="D7" s="227" t="s">
        <v>271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297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244000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6100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2018</v>
      </c>
      <c r="D17" s="466">
        <v>0</v>
      </c>
      <c r="E17" s="469">
        <v>2711.1111111111113</v>
      </c>
      <c r="F17" s="467">
        <v>241288.88888888888</v>
      </c>
      <c r="G17" s="469">
        <v>17159.361980055266</v>
      </c>
      <c r="H17" s="468">
        <v>17159.361980055266</v>
      </c>
      <c r="I17" s="160">
        <f t="shared" ref="I17:I72" si="0">H17-G17</f>
        <v>0</v>
      </c>
      <c r="J17" s="160"/>
      <c r="K17" s="337">
        <f>+G17</f>
        <v>17159.361980055266</v>
      </c>
      <c r="L17" s="161">
        <f t="shared" ref="L17:L72" si="1">IF(K17&lt;&gt;0,+G17-K17,0)</f>
        <v>0</v>
      </c>
      <c r="M17" s="337">
        <f>+H17</f>
        <v>17159.361980055266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2019</v>
      </c>
      <c r="D18" s="166">
        <f>IF(F17+SUM(E$17:E17)=D$10,F17,D$10-SUM(E$17:E17))</f>
        <v>241288.88888888888</v>
      </c>
      <c r="E18" s="164">
        <f t="shared" ref="E18:E72" si="4">IF(+I$14&lt;F17,I$14,D18)</f>
        <v>6100</v>
      </c>
      <c r="F18" s="163">
        <f t="shared" ref="F18:F72" si="5">+D18-E18</f>
        <v>235188.88888888888</v>
      </c>
      <c r="G18" s="165">
        <f t="shared" ref="G18:G72" si="6">(D18+F18)/2*I$12+E18</f>
        <v>33550.909846767216</v>
      </c>
      <c r="H18" s="147">
        <f t="shared" ref="H18:H72" si="7">+(D18+F18)/2*I$13+E18</f>
        <v>33550.909846767216</v>
      </c>
      <c r="I18" s="160">
        <f t="shared" si="0"/>
        <v>0</v>
      </c>
      <c r="J18" s="160"/>
      <c r="K18" s="335"/>
      <c r="L18" s="162">
        <f t="shared" si="1"/>
        <v>0</v>
      </c>
      <c r="M18" s="335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2020</v>
      </c>
      <c r="D19" s="166">
        <f>IF(F18+SUM(E$17:E18)=D$10,F18,D$10-SUM(E$17:E18))</f>
        <v>235188.88888888888</v>
      </c>
      <c r="E19" s="164">
        <f t="shared" si="4"/>
        <v>6100</v>
      </c>
      <c r="F19" s="163">
        <f t="shared" si="5"/>
        <v>229088.88888888888</v>
      </c>
      <c r="G19" s="165">
        <f t="shared" si="6"/>
        <v>32848.041600335055</v>
      </c>
      <c r="H19" s="147">
        <f t="shared" si="7"/>
        <v>32848.041600335055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229088.88888888888</v>
      </c>
      <c r="E20" s="164">
        <f t="shared" si="4"/>
        <v>6100</v>
      </c>
      <c r="F20" s="163">
        <f t="shared" si="5"/>
        <v>222988.88888888888</v>
      </c>
      <c r="G20" s="165">
        <f t="shared" si="6"/>
        <v>32145.173353902894</v>
      </c>
      <c r="H20" s="147">
        <f t="shared" si="7"/>
        <v>32145.173353902894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222988.88888888888</v>
      </c>
      <c r="E21" s="164">
        <f t="shared" si="4"/>
        <v>6100</v>
      </c>
      <c r="F21" s="163">
        <f t="shared" si="5"/>
        <v>216888.88888888888</v>
      </c>
      <c r="G21" s="165">
        <f t="shared" si="6"/>
        <v>31442.305107470733</v>
      </c>
      <c r="H21" s="147">
        <f t="shared" si="7"/>
        <v>31442.305107470733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216888.88888888888</v>
      </c>
      <c r="E22" s="164">
        <f t="shared" si="4"/>
        <v>6100</v>
      </c>
      <c r="F22" s="163">
        <f t="shared" si="5"/>
        <v>210788.88888888888</v>
      </c>
      <c r="G22" s="165">
        <f t="shared" si="6"/>
        <v>30739.436861038568</v>
      </c>
      <c r="H22" s="147">
        <f t="shared" si="7"/>
        <v>30739.436861038568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210788.88888888888</v>
      </c>
      <c r="E23" s="164">
        <f t="shared" si="4"/>
        <v>6100</v>
      </c>
      <c r="F23" s="163">
        <f t="shared" si="5"/>
        <v>204688.88888888888</v>
      </c>
      <c r="G23" s="165">
        <f t="shared" si="6"/>
        <v>30036.568614606407</v>
      </c>
      <c r="H23" s="147">
        <f t="shared" si="7"/>
        <v>30036.568614606407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204688.88888888888</v>
      </c>
      <c r="E24" s="164">
        <f t="shared" si="4"/>
        <v>6100</v>
      </c>
      <c r="F24" s="163">
        <f t="shared" si="5"/>
        <v>198588.88888888888</v>
      </c>
      <c r="G24" s="165">
        <f t="shared" si="6"/>
        <v>29333.700368174246</v>
      </c>
      <c r="H24" s="147">
        <f t="shared" si="7"/>
        <v>29333.700368174246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198588.88888888888</v>
      </c>
      <c r="E25" s="164">
        <f t="shared" si="4"/>
        <v>6100</v>
      </c>
      <c r="F25" s="163">
        <f t="shared" si="5"/>
        <v>192488.88888888888</v>
      </c>
      <c r="G25" s="165">
        <f t="shared" si="6"/>
        <v>28630.832121742082</v>
      </c>
      <c r="H25" s="147">
        <f t="shared" si="7"/>
        <v>28630.832121742082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192488.88888888888</v>
      </c>
      <c r="E26" s="164">
        <f t="shared" si="4"/>
        <v>6100</v>
      </c>
      <c r="F26" s="163">
        <f t="shared" si="5"/>
        <v>186388.88888888888</v>
      </c>
      <c r="G26" s="165">
        <f t="shared" si="6"/>
        <v>27927.963875309921</v>
      </c>
      <c r="H26" s="147">
        <f t="shared" si="7"/>
        <v>27927.963875309921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186388.88888888888</v>
      </c>
      <c r="E27" s="164">
        <f t="shared" si="4"/>
        <v>6100</v>
      </c>
      <c r="F27" s="163">
        <f t="shared" si="5"/>
        <v>180288.88888888888</v>
      </c>
      <c r="G27" s="165">
        <f t="shared" si="6"/>
        <v>27225.09562887776</v>
      </c>
      <c r="H27" s="147">
        <f t="shared" si="7"/>
        <v>27225.09562887776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180288.88888888888</v>
      </c>
      <c r="E28" s="164">
        <f t="shared" si="4"/>
        <v>6100</v>
      </c>
      <c r="F28" s="163">
        <f t="shared" si="5"/>
        <v>174188.88888888888</v>
      </c>
      <c r="G28" s="165">
        <f t="shared" si="6"/>
        <v>26522.227382445595</v>
      </c>
      <c r="H28" s="147">
        <f t="shared" si="7"/>
        <v>26522.227382445595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174188.88888888888</v>
      </c>
      <c r="E29" s="164">
        <f t="shared" si="4"/>
        <v>6100</v>
      </c>
      <c r="F29" s="163">
        <f t="shared" si="5"/>
        <v>168088.88888888888</v>
      </c>
      <c r="G29" s="165">
        <f t="shared" si="6"/>
        <v>25819.359136013434</v>
      </c>
      <c r="H29" s="147">
        <f t="shared" si="7"/>
        <v>25819.359136013434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168088.88888888888</v>
      </c>
      <c r="E30" s="164">
        <f t="shared" si="4"/>
        <v>6100</v>
      </c>
      <c r="F30" s="163">
        <f t="shared" si="5"/>
        <v>161988.88888888888</v>
      </c>
      <c r="G30" s="165">
        <f t="shared" si="6"/>
        <v>25116.490889581273</v>
      </c>
      <c r="H30" s="147">
        <f t="shared" si="7"/>
        <v>25116.490889581273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161988.88888888888</v>
      </c>
      <c r="E31" s="164">
        <f t="shared" si="4"/>
        <v>6100</v>
      </c>
      <c r="F31" s="163">
        <f t="shared" si="5"/>
        <v>155888.88888888888</v>
      </c>
      <c r="G31" s="165">
        <f t="shared" si="6"/>
        <v>24413.622643149112</v>
      </c>
      <c r="H31" s="147">
        <f t="shared" si="7"/>
        <v>24413.622643149112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155888.88888888888</v>
      </c>
      <c r="E32" s="164">
        <f t="shared" si="4"/>
        <v>6100</v>
      </c>
      <c r="F32" s="163">
        <f t="shared" si="5"/>
        <v>149788.88888888888</v>
      </c>
      <c r="G32" s="165">
        <f t="shared" si="6"/>
        <v>23710.754396716948</v>
      </c>
      <c r="H32" s="147">
        <f t="shared" si="7"/>
        <v>23710.754396716948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149788.88888888888</v>
      </c>
      <c r="E33" s="164">
        <f t="shared" si="4"/>
        <v>6100</v>
      </c>
      <c r="F33" s="163">
        <f t="shared" si="5"/>
        <v>143688.88888888888</v>
      </c>
      <c r="G33" s="165">
        <f t="shared" si="6"/>
        <v>23007.886150284787</v>
      </c>
      <c r="H33" s="147">
        <f t="shared" si="7"/>
        <v>23007.886150284787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143688.88888888888</v>
      </c>
      <c r="E34" s="164">
        <f t="shared" si="4"/>
        <v>6100</v>
      </c>
      <c r="F34" s="163">
        <f t="shared" si="5"/>
        <v>137588.88888888888</v>
      </c>
      <c r="G34" s="165">
        <f t="shared" si="6"/>
        <v>22305.017903852626</v>
      </c>
      <c r="H34" s="147">
        <f t="shared" si="7"/>
        <v>22305.017903852626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137588.88888888888</v>
      </c>
      <c r="E35" s="164">
        <f t="shared" si="4"/>
        <v>6100</v>
      </c>
      <c r="F35" s="163">
        <f t="shared" si="5"/>
        <v>131488.88888888888</v>
      </c>
      <c r="G35" s="165">
        <f t="shared" si="6"/>
        <v>21602.149657420465</v>
      </c>
      <c r="H35" s="147">
        <f t="shared" si="7"/>
        <v>21602.149657420465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131488.88888888888</v>
      </c>
      <c r="E36" s="164">
        <f t="shared" si="4"/>
        <v>6100</v>
      </c>
      <c r="F36" s="163">
        <f t="shared" si="5"/>
        <v>125388.88888888888</v>
      </c>
      <c r="G36" s="165">
        <f t="shared" si="6"/>
        <v>20899.2814109883</v>
      </c>
      <c r="H36" s="147">
        <f t="shared" si="7"/>
        <v>20899.2814109883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125388.88888888888</v>
      </c>
      <c r="E37" s="164">
        <f t="shared" si="4"/>
        <v>6100</v>
      </c>
      <c r="F37" s="163">
        <f t="shared" si="5"/>
        <v>119288.88888888888</v>
      </c>
      <c r="G37" s="165">
        <f t="shared" si="6"/>
        <v>20196.413164556136</v>
      </c>
      <c r="H37" s="147">
        <f t="shared" si="7"/>
        <v>20196.413164556136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119288.88888888888</v>
      </c>
      <c r="E38" s="164">
        <f t="shared" si="4"/>
        <v>6100</v>
      </c>
      <c r="F38" s="163">
        <f t="shared" si="5"/>
        <v>113188.88888888888</v>
      </c>
      <c r="G38" s="165">
        <f t="shared" si="6"/>
        <v>19493.544918123975</v>
      </c>
      <c r="H38" s="147">
        <f t="shared" si="7"/>
        <v>19493.544918123975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113188.88888888888</v>
      </c>
      <c r="E39" s="164">
        <f t="shared" si="4"/>
        <v>6100</v>
      </c>
      <c r="F39" s="163">
        <f t="shared" si="5"/>
        <v>107088.88888888888</v>
      </c>
      <c r="G39" s="165">
        <f t="shared" si="6"/>
        <v>18790.676671691814</v>
      </c>
      <c r="H39" s="147">
        <f t="shared" si="7"/>
        <v>18790.676671691814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107088.88888888888</v>
      </c>
      <c r="E40" s="164">
        <f t="shared" si="4"/>
        <v>6100</v>
      </c>
      <c r="F40" s="163">
        <f t="shared" si="5"/>
        <v>100988.88888888888</v>
      </c>
      <c r="G40" s="165">
        <f t="shared" si="6"/>
        <v>18087.808425259653</v>
      </c>
      <c r="H40" s="147">
        <f t="shared" si="7"/>
        <v>18087.808425259653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100988.88888888888</v>
      </c>
      <c r="E41" s="164">
        <f t="shared" si="4"/>
        <v>6100</v>
      </c>
      <c r="F41" s="163">
        <f t="shared" si="5"/>
        <v>94888.888888888876</v>
      </c>
      <c r="G41" s="165">
        <f t="shared" si="6"/>
        <v>17384.940178827492</v>
      </c>
      <c r="H41" s="147">
        <f t="shared" si="7"/>
        <v>17384.940178827492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94888.888888888876</v>
      </c>
      <c r="E42" s="164">
        <f t="shared" si="4"/>
        <v>6100</v>
      </c>
      <c r="F42" s="163">
        <f t="shared" si="5"/>
        <v>88788.888888888876</v>
      </c>
      <c r="G42" s="165">
        <f t="shared" si="6"/>
        <v>16682.071932395327</v>
      </c>
      <c r="H42" s="147">
        <f t="shared" si="7"/>
        <v>16682.071932395327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88788.888888888876</v>
      </c>
      <c r="E43" s="164">
        <f t="shared" si="4"/>
        <v>6100</v>
      </c>
      <c r="F43" s="163">
        <f t="shared" si="5"/>
        <v>82688.888888888876</v>
      </c>
      <c r="G43" s="165">
        <f t="shared" si="6"/>
        <v>15979.203685963166</v>
      </c>
      <c r="H43" s="147">
        <f t="shared" si="7"/>
        <v>15979.203685963166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82688.888888888876</v>
      </c>
      <c r="E44" s="164">
        <f t="shared" si="4"/>
        <v>6100</v>
      </c>
      <c r="F44" s="163">
        <f t="shared" si="5"/>
        <v>76588.888888888876</v>
      </c>
      <c r="G44" s="165">
        <f t="shared" si="6"/>
        <v>15276.335439531003</v>
      </c>
      <c r="H44" s="147">
        <f t="shared" si="7"/>
        <v>15276.335439531003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76588.888888888876</v>
      </c>
      <c r="E45" s="164">
        <f t="shared" si="4"/>
        <v>6100</v>
      </c>
      <c r="F45" s="163">
        <f t="shared" si="5"/>
        <v>70488.888888888876</v>
      </c>
      <c r="G45" s="165">
        <f t="shared" si="6"/>
        <v>14573.467193098841</v>
      </c>
      <c r="H45" s="147">
        <f t="shared" si="7"/>
        <v>14573.467193098841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70488.888888888876</v>
      </c>
      <c r="E46" s="164">
        <f t="shared" si="4"/>
        <v>6100</v>
      </c>
      <c r="F46" s="163">
        <f t="shared" si="5"/>
        <v>64388.888888888876</v>
      </c>
      <c r="G46" s="165">
        <f t="shared" si="6"/>
        <v>13870.59894666668</v>
      </c>
      <c r="H46" s="147">
        <f t="shared" si="7"/>
        <v>13870.59894666668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64388.888888888876</v>
      </c>
      <c r="E47" s="164">
        <f t="shared" si="4"/>
        <v>6100</v>
      </c>
      <c r="F47" s="163">
        <f t="shared" si="5"/>
        <v>58288.888888888876</v>
      </c>
      <c r="G47" s="165">
        <f t="shared" si="6"/>
        <v>13167.730700234517</v>
      </c>
      <c r="H47" s="147">
        <f t="shared" si="7"/>
        <v>13167.730700234517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58288.888888888876</v>
      </c>
      <c r="E48" s="164">
        <f t="shared" si="4"/>
        <v>6100</v>
      </c>
      <c r="F48" s="163">
        <f t="shared" si="5"/>
        <v>52188.888888888876</v>
      </c>
      <c r="G48" s="165">
        <f t="shared" si="6"/>
        <v>12464.862453802354</v>
      </c>
      <c r="H48" s="147">
        <f t="shared" si="7"/>
        <v>12464.862453802354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52188.888888888876</v>
      </c>
      <c r="E49" s="164">
        <f t="shared" si="4"/>
        <v>6100</v>
      </c>
      <c r="F49" s="163">
        <f t="shared" si="5"/>
        <v>46088.888888888876</v>
      </c>
      <c r="G49" s="165">
        <f t="shared" si="6"/>
        <v>11761.994207370193</v>
      </c>
      <c r="H49" s="147">
        <f t="shared" si="7"/>
        <v>11761.994207370193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46088.888888888876</v>
      </c>
      <c r="E50" s="164">
        <f t="shared" si="4"/>
        <v>6100</v>
      </c>
      <c r="F50" s="163">
        <f t="shared" si="5"/>
        <v>39988.888888888876</v>
      </c>
      <c r="G50" s="165">
        <f t="shared" si="6"/>
        <v>11059.125960938032</v>
      </c>
      <c r="H50" s="147">
        <f t="shared" si="7"/>
        <v>11059.125960938032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39988.888888888876</v>
      </c>
      <c r="E51" s="164">
        <f t="shared" si="4"/>
        <v>6100</v>
      </c>
      <c r="F51" s="163">
        <f t="shared" si="5"/>
        <v>33888.888888888876</v>
      </c>
      <c r="G51" s="165">
        <f t="shared" si="6"/>
        <v>10356.257714505868</v>
      </c>
      <c r="H51" s="147">
        <f t="shared" si="7"/>
        <v>10356.257714505868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33888.888888888876</v>
      </c>
      <c r="E52" s="164">
        <f t="shared" si="4"/>
        <v>6100</v>
      </c>
      <c r="F52" s="163">
        <f t="shared" si="5"/>
        <v>27788.888888888876</v>
      </c>
      <c r="G52" s="165">
        <f t="shared" si="6"/>
        <v>9653.3894680737067</v>
      </c>
      <c r="H52" s="147">
        <f t="shared" si="7"/>
        <v>9653.3894680737067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27788.888888888876</v>
      </c>
      <c r="E53" s="164">
        <f t="shared" si="4"/>
        <v>6100</v>
      </c>
      <c r="F53" s="163">
        <f t="shared" si="5"/>
        <v>21688.888888888876</v>
      </c>
      <c r="G53" s="165">
        <f t="shared" si="6"/>
        <v>8950.5212216415457</v>
      </c>
      <c r="H53" s="147">
        <f t="shared" si="7"/>
        <v>8950.5212216415457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21688.888888888876</v>
      </c>
      <c r="E54" s="164">
        <f t="shared" si="4"/>
        <v>6100</v>
      </c>
      <c r="F54" s="163">
        <f t="shared" si="5"/>
        <v>15588.888888888876</v>
      </c>
      <c r="G54" s="165">
        <f t="shared" si="6"/>
        <v>8247.6529752093829</v>
      </c>
      <c r="H54" s="147">
        <f t="shared" si="7"/>
        <v>8247.6529752093829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15588.888888888876</v>
      </c>
      <c r="E55" s="164">
        <f t="shared" si="4"/>
        <v>6100</v>
      </c>
      <c r="F55" s="163">
        <f t="shared" si="5"/>
        <v>9488.888888888876</v>
      </c>
      <c r="G55" s="165">
        <f t="shared" si="6"/>
        <v>7544.7847287772202</v>
      </c>
      <c r="H55" s="147">
        <f t="shared" si="7"/>
        <v>7544.7847287772202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9488.888888888876</v>
      </c>
      <c r="E56" s="164">
        <f t="shared" si="4"/>
        <v>6100</v>
      </c>
      <c r="F56" s="163">
        <f t="shared" si="5"/>
        <v>3388.888888888876</v>
      </c>
      <c r="G56" s="165">
        <f t="shared" si="6"/>
        <v>6841.9164823450583</v>
      </c>
      <c r="H56" s="147">
        <f t="shared" si="7"/>
        <v>6841.9164823450583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3388.888888888876</v>
      </c>
      <c r="E57" s="164">
        <f t="shared" si="4"/>
        <v>3388.888888888876</v>
      </c>
      <c r="F57" s="163">
        <f t="shared" si="5"/>
        <v>0</v>
      </c>
      <c r="G57" s="165">
        <f t="shared" si="6"/>
        <v>3584.1300684533649</v>
      </c>
      <c r="H57" s="147">
        <f t="shared" si="7"/>
        <v>3584.1300684533649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244000</v>
      </c>
      <c r="F73" s="115"/>
      <c r="G73" s="115">
        <f>SUM(G17:G72)</f>
        <v>808403.60546619829</v>
      </c>
      <c r="H73" s="115">
        <f>SUM(H17:H72)</f>
        <v>808403.60546619829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22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Northeastern Station 138 kV Terminal Upgrades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244000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5304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2018</v>
      </c>
      <c r="D99" s="158">
        <v>0</v>
      </c>
      <c r="E99" s="165">
        <f>IF(OR(D11=I10,D92&lt;100000),0,J$96/12*(12-D94))</f>
        <v>2652</v>
      </c>
      <c r="F99" s="163">
        <f>IF(D93=C99,+D92-E99,+D99-E99)</f>
        <v>241348</v>
      </c>
      <c r="G99" s="218">
        <f>+(F99+D99)/2</f>
        <v>120674</v>
      </c>
      <c r="H99" s="218">
        <f t="shared" ref="H99:H154" si="9">+J$94*G99+E99</f>
        <v>17959.801179599104</v>
      </c>
      <c r="I99" s="218">
        <f>+J$95*G99+E99</f>
        <v>17959.801179599104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>
        <f>IF(D93="","-",+C99+1)</f>
        <v>2019</v>
      </c>
      <c r="D100" s="158">
        <f>IF(F99+SUM(E$99:E99)=D$92,F99,D$92-SUM(E$99:E99))</f>
        <v>241348</v>
      </c>
      <c r="E100" s="164">
        <f>IF(+J$96&lt;F99,J$96,D100)</f>
        <v>5304</v>
      </c>
      <c r="F100" s="163">
        <f>+D100-E100</f>
        <v>236044</v>
      </c>
      <c r="G100" s="163">
        <f>+(F100+D100)/2</f>
        <v>238696</v>
      </c>
      <c r="H100" s="333">
        <f t="shared" si="9"/>
        <v>35583.18947217783</v>
      </c>
      <c r="I100" s="344">
        <f t="shared" ref="I100:I154" si="14">+J$95*G100+E100</f>
        <v>35583.18947217783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236044</v>
      </c>
      <c r="E101" s="164">
        <f t="shared" ref="E101:E154" si="16">IF(+J$96&lt;F100,J$96,D101)</f>
        <v>5304</v>
      </c>
      <c r="F101" s="163">
        <f t="shared" ref="F101:F154" si="17">+D101-E101</f>
        <v>230740</v>
      </c>
      <c r="G101" s="163">
        <f t="shared" ref="G101:G154" si="18">+(F101+D101)/2</f>
        <v>233392</v>
      </c>
      <c r="H101" s="333">
        <f t="shared" si="9"/>
        <v>34910.36369813708</v>
      </c>
      <c r="I101" s="344">
        <f t="shared" si="14"/>
        <v>34910.36369813708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230740</v>
      </c>
      <c r="E102" s="164">
        <f t="shared" si="16"/>
        <v>5304</v>
      </c>
      <c r="F102" s="163">
        <f t="shared" si="17"/>
        <v>225436</v>
      </c>
      <c r="G102" s="163">
        <f t="shared" si="18"/>
        <v>228088</v>
      </c>
      <c r="H102" s="333">
        <f t="shared" si="9"/>
        <v>34237.537924096323</v>
      </c>
      <c r="I102" s="344">
        <f t="shared" si="14"/>
        <v>34237.537924096323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225436</v>
      </c>
      <c r="E103" s="164">
        <f t="shared" si="16"/>
        <v>5304</v>
      </c>
      <c r="F103" s="163">
        <f t="shared" si="17"/>
        <v>220132</v>
      </c>
      <c r="G103" s="163">
        <f t="shared" si="18"/>
        <v>222784</v>
      </c>
      <c r="H103" s="333">
        <f t="shared" si="9"/>
        <v>33564.712150055573</v>
      </c>
      <c r="I103" s="344">
        <f t="shared" si="14"/>
        <v>33564.712150055573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220132</v>
      </c>
      <c r="E104" s="164">
        <f t="shared" si="16"/>
        <v>5304</v>
      </c>
      <c r="F104" s="163">
        <f t="shared" si="17"/>
        <v>214828</v>
      </c>
      <c r="G104" s="163">
        <f t="shared" si="18"/>
        <v>217480</v>
      </c>
      <c r="H104" s="333">
        <f t="shared" si="9"/>
        <v>32891.886376014823</v>
      </c>
      <c r="I104" s="344">
        <f t="shared" si="14"/>
        <v>32891.886376014823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214828</v>
      </c>
      <c r="E105" s="164">
        <f t="shared" si="16"/>
        <v>5304</v>
      </c>
      <c r="F105" s="163">
        <f t="shared" si="17"/>
        <v>209524</v>
      </c>
      <c r="G105" s="163">
        <f t="shared" si="18"/>
        <v>212176</v>
      </c>
      <c r="H105" s="333">
        <f t="shared" si="9"/>
        <v>32219.06060197407</v>
      </c>
      <c r="I105" s="344">
        <f t="shared" si="14"/>
        <v>32219.06060197407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209524</v>
      </c>
      <c r="E106" s="164">
        <f t="shared" si="16"/>
        <v>5304</v>
      </c>
      <c r="F106" s="163">
        <f t="shared" si="17"/>
        <v>204220</v>
      </c>
      <c r="G106" s="163">
        <f t="shared" si="18"/>
        <v>206872</v>
      </c>
      <c r="H106" s="333">
        <f t="shared" si="9"/>
        <v>31546.23482793332</v>
      </c>
      <c r="I106" s="344">
        <f t="shared" si="14"/>
        <v>31546.23482793332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204220</v>
      </c>
      <c r="E107" s="164">
        <f t="shared" si="16"/>
        <v>5304</v>
      </c>
      <c r="F107" s="163">
        <f t="shared" si="17"/>
        <v>198916</v>
      </c>
      <c r="G107" s="163">
        <f t="shared" si="18"/>
        <v>201568</v>
      </c>
      <c r="H107" s="333">
        <f t="shared" si="9"/>
        <v>30873.40905389257</v>
      </c>
      <c r="I107" s="344">
        <f t="shared" si="14"/>
        <v>30873.40905389257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198916</v>
      </c>
      <c r="E108" s="164">
        <f t="shared" si="16"/>
        <v>5304</v>
      </c>
      <c r="F108" s="163">
        <f t="shared" si="17"/>
        <v>193612</v>
      </c>
      <c r="G108" s="163">
        <f t="shared" si="18"/>
        <v>196264</v>
      </c>
      <c r="H108" s="333">
        <f t="shared" si="9"/>
        <v>30200.583279851817</v>
      </c>
      <c r="I108" s="344">
        <f t="shared" si="14"/>
        <v>30200.583279851817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193612</v>
      </c>
      <c r="E109" s="164">
        <f t="shared" si="16"/>
        <v>5304</v>
      </c>
      <c r="F109" s="163">
        <f t="shared" si="17"/>
        <v>188308</v>
      </c>
      <c r="G109" s="163">
        <f t="shared" si="18"/>
        <v>190960</v>
      </c>
      <c r="H109" s="333">
        <f t="shared" si="9"/>
        <v>29527.757505811067</v>
      </c>
      <c r="I109" s="344">
        <f t="shared" si="14"/>
        <v>29527.757505811067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188308</v>
      </c>
      <c r="E110" s="164">
        <f t="shared" si="16"/>
        <v>5304</v>
      </c>
      <c r="F110" s="163">
        <f t="shared" si="17"/>
        <v>183004</v>
      </c>
      <c r="G110" s="163">
        <f t="shared" si="18"/>
        <v>185656</v>
      </c>
      <c r="H110" s="333">
        <f t="shared" si="9"/>
        <v>28854.931731770313</v>
      </c>
      <c r="I110" s="344">
        <f t="shared" si="14"/>
        <v>28854.931731770313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183004</v>
      </c>
      <c r="E111" s="164">
        <f t="shared" si="16"/>
        <v>5304</v>
      </c>
      <c r="F111" s="163">
        <f t="shared" si="17"/>
        <v>177700</v>
      </c>
      <c r="G111" s="163">
        <f t="shared" si="18"/>
        <v>180352</v>
      </c>
      <c r="H111" s="333">
        <f t="shared" si="9"/>
        <v>28182.105957729564</v>
      </c>
      <c r="I111" s="344">
        <f t="shared" si="14"/>
        <v>28182.105957729564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177700</v>
      </c>
      <c r="E112" s="164">
        <f t="shared" si="16"/>
        <v>5304</v>
      </c>
      <c r="F112" s="163">
        <f t="shared" si="17"/>
        <v>172396</v>
      </c>
      <c r="G112" s="163">
        <f t="shared" si="18"/>
        <v>175048</v>
      </c>
      <c r="H112" s="333">
        <f t="shared" si="9"/>
        <v>27509.28018368881</v>
      </c>
      <c r="I112" s="344">
        <f t="shared" si="14"/>
        <v>27509.28018368881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172396</v>
      </c>
      <c r="E113" s="164">
        <f t="shared" si="16"/>
        <v>5304</v>
      </c>
      <c r="F113" s="163">
        <f t="shared" si="17"/>
        <v>167092</v>
      </c>
      <c r="G113" s="163">
        <f t="shared" si="18"/>
        <v>169744</v>
      </c>
      <c r="H113" s="333">
        <f t="shared" si="9"/>
        <v>26836.45440964806</v>
      </c>
      <c r="I113" s="344">
        <f t="shared" si="14"/>
        <v>26836.45440964806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167092</v>
      </c>
      <c r="E114" s="164">
        <f t="shared" si="16"/>
        <v>5304</v>
      </c>
      <c r="F114" s="163">
        <f t="shared" si="17"/>
        <v>161788</v>
      </c>
      <c r="G114" s="163">
        <f t="shared" si="18"/>
        <v>164440</v>
      </c>
      <c r="H114" s="333">
        <f t="shared" si="9"/>
        <v>26163.628635607311</v>
      </c>
      <c r="I114" s="344">
        <f t="shared" si="14"/>
        <v>26163.628635607311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161788</v>
      </c>
      <c r="E115" s="164">
        <f t="shared" si="16"/>
        <v>5304</v>
      </c>
      <c r="F115" s="163">
        <f t="shared" si="17"/>
        <v>156484</v>
      </c>
      <c r="G115" s="163">
        <f t="shared" si="18"/>
        <v>159136</v>
      </c>
      <c r="H115" s="333">
        <f t="shared" si="9"/>
        <v>25490.802861566557</v>
      </c>
      <c r="I115" s="344">
        <f t="shared" si="14"/>
        <v>25490.802861566557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156484</v>
      </c>
      <c r="E116" s="164">
        <f t="shared" si="16"/>
        <v>5304</v>
      </c>
      <c r="F116" s="163">
        <f t="shared" si="17"/>
        <v>151180</v>
      </c>
      <c r="G116" s="163">
        <f t="shared" si="18"/>
        <v>153832</v>
      </c>
      <c r="H116" s="333">
        <f t="shared" si="9"/>
        <v>24817.977087525807</v>
      </c>
      <c r="I116" s="344">
        <f t="shared" si="14"/>
        <v>24817.977087525807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151180</v>
      </c>
      <c r="E117" s="164">
        <f t="shared" si="16"/>
        <v>5304</v>
      </c>
      <c r="F117" s="163">
        <f t="shared" si="17"/>
        <v>145876</v>
      </c>
      <c r="G117" s="163">
        <f t="shared" si="18"/>
        <v>148528</v>
      </c>
      <c r="H117" s="333">
        <f t="shared" si="9"/>
        <v>24145.151313485054</v>
      </c>
      <c r="I117" s="344">
        <f t="shared" si="14"/>
        <v>24145.151313485054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145876</v>
      </c>
      <c r="E118" s="164">
        <f t="shared" si="16"/>
        <v>5304</v>
      </c>
      <c r="F118" s="163">
        <f t="shared" si="17"/>
        <v>140572</v>
      </c>
      <c r="G118" s="163">
        <f t="shared" si="18"/>
        <v>143224</v>
      </c>
      <c r="H118" s="333">
        <f t="shared" si="9"/>
        <v>23472.325539444304</v>
      </c>
      <c r="I118" s="344">
        <f t="shared" si="14"/>
        <v>23472.325539444304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140572</v>
      </c>
      <c r="E119" s="164">
        <f t="shared" si="16"/>
        <v>5304</v>
      </c>
      <c r="F119" s="163">
        <f t="shared" si="17"/>
        <v>135268</v>
      </c>
      <c r="G119" s="163">
        <f t="shared" si="18"/>
        <v>137920</v>
      </c>
      <c r="H119" s="333">
        <f t="shared" si="9"/>
        <v>22799.499765403551</v>
      </c>
      <c r="I119" s="344">
        <f t="shared" si="14"/>
        <v>22799.499765403551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135268</v>
      </c>
      <c r="E120" s="164">
        <f t="shared" si="16"/>
        <v>5304</v>
      </c>
      <c r="F120" s="163">
        <f t="shared" si="17"/>
        <v>129964</v>
      </c>
      <c r="G120" s="163">
        <f t="shared" si="18"/>
        <v>132616</v>
      </c>
      <c r="H120" s="333">
        <f t="shared" si="9"/>
        <v>22126.673991362801</v>
      </c>
      <c r="I120" s="344">
        <f t="shared" si="14"/>
        <v>22126.673991362801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129964</v>
      </c>
      <c r="E121" s="164">
        <f t="shared" si="16"/>
        <v>5304</v>
      </c>
      <c r="F121" s="163">
        <f t="shared" si="17"/>
        <v>124660</v>
      </c>
      <c r="G121" s="163">
        <f t="shared" si="18"/>
        <v>127312</v>
      </c>
      <c r="H121" s="333">
        <f t="shared" si="9"/>
        <v>21453.848217322047</v>
      </c>
      <c r="I121" s="344">
        <f t="shared" si="14"/>
        <v>21453.848217322047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124660</v>
      </c>
      <c r="E122" s="164">
        <f t="shared" si="16"/>
        <v>5304</v>
      </c>
      <c r="F122" s="163">
        <f t="shared" si="17"/>
        <v>119356</v>
      </c>
      <c r="G122" s="163">
        <f t="shared" si="18"/>
        <v>122008</v>
      </c>
      <c r="H122" s="333">
        <f t="shared" si="9"/>
        <v>20781.022443281297</v>
      </c>
      <c r="I122" s="344">
        <f t="shared" si="14"/>
        <v>20781.022443281297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119356</v>
      </c>
      <c r="E123" s="164">
        <f t="shared" si="16"/>
        <v>5304</v>
      </c>
      <c r="F123" s="163">
        <f t="shared" si="17"/>
        <v>114052</v>
      </c>
      <c r="G123" s="163">
        <f t="shared" si="18"/>
        <v>116704</v>
      </c>
      <c r="H123" s="333">
        <f t="shared" si="9"/>
        <v>20108.196669240548</v>
      </c>
      <c r="I123" s="344">
        <f t="shared" si="14"/>
        <v>20108.196669240548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114052</v>
      </c>
      <c r="E124" s="164">
        <f t="shared" si="16"/>
        <v>5304</v>
      </c>
      <c r="F124" s="163">
        <f t="shared" si="17"/>
        <v>108748</v>
      </c>
      <c r="G124" s="163">
        <f t="shared" si="18"/>
        <v>111400</v>
      </c>
      <c r="H124" s="333">
        <f t="shared" si="9"/>
        <v>19435.370895199794</v>
      </c>
      <c r="I124" s="344">
        <f t="shared" si="14"/>
        <v>19435.370895199794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108748</v>
      </c>
      <c r="E125" s="164">
        <f t="shared" si="16"/>
        <v>5304</v>
      </c>
      <c r="F125" s="163">
        <f t="shared" si="17"/>
        <v>103444</v>
      </c>
      <c r="G125" s="163">
        <f t="shared" si="18"/>
        <v>106096</v>
      </c>
      <c r="H125" s="333">
        <f t="shared" si="9"/>
        <v>18762.545121159041</v>
      </c>
      <c r="I125" s="344">
        <f t="shared" si="14"/>
        <v>18762.545121159041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103444</v>
      </c>
      <c r="E126" s="164">
        <f t="shared" si="16"/>
        <v>5304</v>
      </c>
      <c r="F126" s="163">
        <f t="shared" si="17"/>
        <v>98140</v>
      </c>
      <c r="G126" s="163">
        <f t="shared" si="18"/>
        <v>100792</v>
      </c>
      <c r="H126" s="333">
        <f t="shared" si="9"/>
        <v>18089.719347118291</v>
      </c>
      <c r="I126" s="344">
        <f t="shared" si="14"/>
        <v>18089.719347118291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98140</v>
      </c>
      <c r="E127" s="164">
        <f t="shared" si="16"/>
        <v>5304</v>
      </c>
      <c r="F127" s="163">
        <f t="shared" si="17"/>
        <v>92836</v>
      </c>
      <c r="G127" s="163">
        <f t="shared" si="18"/>
        <v>95488</v>
      </c>
      <c r="H127" s="333">
        <f t="shared" si="9"/>
        <v>17416.893573077541</v>
      </c>
      <c r="I127" s="344">
        <f t="shared" si="14"/>
        <v>17416.893573077541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92836</v>
      </c>
      <c r="E128" s="164">
        <f t="shared" si="16"/>
        <v>5304</v>
      </c>
      <c r="F128" s="163">
        <f t="shared" si="17"/>
        <v>87532</v>
      </c>
      <c r="G128" s="163">
        <f t="shared" si="18"/>
        <v>90184</v>
      </c>
      <c r="H128" s="333">
        <f t="shared" si="9"/>
        <v>16744.067799036791</v>
      </c>
      <c r="I128" s="344">
        <f t="shared" si="14"/>
        <v>16744.067799036791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87532</v>
      </c>
      <c r="E129" s="164">
        <f t="shared" si="16"/>
        <v>5304</v>
      </c>
      <c r="F129" s="163">
        <f t="shared" si="17"/>
        <v>82228</v>
      </c>
      <c r="G129" s="163">
        <f t="shared" si="18"/>
        <v>84880</v>
      </c>
      <c r="H129" s="333">
        <f t="shared" si="9"/>
        <v>16071.242024996038</v>
      </c>
      <c r="I129" s="344">
        <f t="shared" si="14"/>
        <v>16071.242024996038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82228</v>
      </c>
      <c r="E130" s="164">
        <f t="shared" si="16"/>
        <v>5304</v>
      </c>
      <c r="F130" s="163">
        <f t="shared" si="17"/>
        <v>76924</v>
      </c>
      <c r="G130" s="163">
        <f t="shared" si="18"/>
        <v>79576</v>
      </c>
      <c r="H130" s="333">
        <f t="shared" si="9"/>
        <v>15398.416250955286</v>
      </c>
      <c r="I130" s="344">
        <f t="shared" si="14"/>
        <v>15398.416250955286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76924</v>
      </c>
      <c r="E131" s="164">
        <f t="shared" si="16"/>
        <v>5304</v>
      </c>
      <c r="F131" s="163">
        <f t="shared" si="17"/>
        <v>71620</v>
      </c>
      <c r="G131" s="163">
        <f t="shared" si="18"/>
        <v>74272</v>
      </c>
      <c r="H131" s="333">
        <f t="shared" si="9"/>
        <v>14725.590476914535</v>
      </c>
      <c r="I131" s="344">
        <f t="shared" si="14"/>
        <v>14725.590476914535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71620</v>
      </c>
      <c r="E132" s="164">
        <f t="shared" si="16"/>
        <v>5304</v>
      </c>
      <c r="F132" s="163">
        <f t="shared" si="17"/>
        <v>66316</v>
      </c>
      <c r="G132" s="163">
        <f t="shared" si="18"/>
        <v>68968</v>
      </c>
      <c r="H132" s="333">
        <f t="shared" si="9"/>
        <v>14052.764702873783</v>
      </c>
      <c r="I132" s="344">
        <f t="shared" si="14"/>
        <v>14052.764702873783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66316</v>
      </c>
      <c r="E133" s="164">
        <f t="shared" si="16"/>
        <v>5304</v>
      </c>
      <c r="F133" s="163">
        <f t="shared" si="17"/>
        <v>61012</v>
      </c>
      <c r="G133" s="163">
        <f t="shared" si="18"/>
        <v>63664</v>
      </c>
      <c r="H133" s="333">
        <f t="shared" si="9"/>
        <v>13379.938928833031</v>
      </c>
      <c r="I133" s="344">
        <f t="shared" si="14"/>
        <v>13379.938928833031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61012</v>
      </c>
      <c r="E134" s="164">
        <f t="shared" si="16"/>
        <v>5304</v>
      </c>
      <c r="F134" s="163">
        <f t="shared" si="17"/>
        <v>55708</v>
      </c>
      <c r="G134" s="163">
        <f t="shared" si="18"/>
        <v>58360</v>
      </c>
      <c r="H134" s="333">
        <f t="shared" si="9"/>
        <v>12707.113154792281</v>
      </c>
      <c r="I134" s="344">
        <f t="shared" si="14"/>
        <v>12707.113154792281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55708</v>
      </c>
      <c r="E135" s="164">
        <f t="shared" si="16"/>
        <v>5304</v>
      </c>
      <c r="F135" s="163">
        <f t="shared" si="17"/>
        <v>50404</v>
      </c>
      <c r="G135" s="163">
        <f t="shared" si="18"/>
        <v>53056</v>
      </c>
      <c r="H135" s="333">
        <f t="shared" si="9"/>
        <v>12034.287380751528</v>
      </c>
      <c r="I135" s="344">
        <f t="shared" si="14"/>
        <v>12034.287380751528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50404</v>
      </c>
      <c r="E136" s="164">
        <f t="shared" si="16"/>
        <v>5304</v>
      </c>
      <c r="F136" s="163">
        <f t="shared" si="17"/>
        <v>45100</v>
      </c>
      <c r="G136" s="163">
        <f t="shared" si="18"/>
        <v>47752</v>
      </c>
      <c r="H136" s="333">
        <f t="shared" si="9"/>
        <v>11361.461606710778</v>
      </c>
      <c r="I136" s="344">
        <f t="shared" si="14"/>
        <v>11361.461606710778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45100</v>
      </c>
      <c r="E137" s="164">
        <f t="shared" si="16"/>
        <v>5304</v>
      </c>
      <c r="F137" s="163">
        <f t="shared" si="17"/>
        <v>39796</v>
      </c>
      <c r="G137" s="163">
        <f t="shared" si="18"/>
        <v>42448</v>
      </c>
      <c r="H137" s="333">
        <f t="shared" si="9"/>
        <v>10688.635832670025</v>
      </c>
      <c r="I137" s="344">
        <f t="shared" si="14"/>
        <v>10688.635832670025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39796</v>
      </c>
      <c r="E138" s="164">
        <f t="shared" si="16"/>
        <v>5304</v>
      </c>
      <c r="F138" s="163">
        <f t="shared" si="17"/>
        <v>34492</v>
      </c>
      <c r="G138" s="163">
        <f t="shared" si="18"/>
        <v>37144</v>
      </c>
      <c r="H138" s="333">
        <f t="shared" si="9"/>
        <v>10015.810058629275</v>
      </c>
      <c r="I138" s="344">
        <f t="shared" si="14"/>
        <v>10015.810058629275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34492</v>
      </c>
      <c r="E139" s="164">
        <f t="shared" si="16"/>
        <v>5304</v>
      </c>
      <c r="F139" s="163">
        <f t="shared" si="17"/>
        <v>29188</v>
      </c>
      <c r="G139" s="163">
        <f t="shared" si="18"/>
        <v>31840</v>
      </c>
      <c r="H139" s="333">
        <f t="shared" si="9"/>
        <v>9342.9842845885232</v>
      </c>
      <c r="I139" s="344">
        <f t="shared" si="14"/>
        <v>9342.9842845885232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29188</v>
      </c>
      <c r="E140" s="164">
        <f t="shared" si="16"/>
        <v>5304</v>
      </c>
      <c r="F140" s="163">
        <f t="shared" si="17"/>
        <v>23884</v>
      </c>
      <c r="G140" s="163">
        <f t="shared" si="18"/>
        <v>26536</v>
      </c>
      <c r="H140" s="333">
        <f t="shared" si="9"/>
        <v>8670.1585105477716</v>
      </c>
      <c r="I140" s="344">
        <f t="shared" si="14"/>
        <v>8670.1585105477716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23884</v>
      </c>
      <c r="E141" s="164">
        <f t="shared" si="16"/>
        <v>5304</v>
      </c>
      <c r="F141" s="163">
        <f t="shared" si="17"/>
        <v>18580</v>
      </c>
      <c r="G141" s="163">
        <f t="shared" si="18"/>
        <v>21232</v>
      </c>
      <c r="H141" s="333">
        <f t="shared" si="9"/>
        <v>7997.3327365070199</v>
      </c>
      <c r="I141" s="344">
        <f t="shared" si="14"/>
        <v>7997.3327365070199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18580</v>
      </c>
      <c r="E142" s="164">
        <f t="shared" si="16"/>
        <v>5304</v>
      </c>
      <c r="F142" s="163">
        <f t="shared" si="17"/>
        <v>13276</v>
      </c>
      <c r="G142" s="163">
        <f t="shared" si="18"/>
        <v>15928</v>
      </c>
      <c r="H142" s="333">
        <f t="shared" si="9"/>
        <v>7324.5069624662683</v>
      </c>
      <c r="I142" s="344">
        <f t="shared" si="14"/>
        <v>7324.5069624662683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13276</v>
      </c>
      <c r="E143" s="164">
        <f t="shared" si="16"/>
        <v>5304</v>
      </c>
      <c r="F143" s="163">
        <f t="shared" si="17"/>
        <v>7972</v>
      </c>
      <c r="G143" s="163">
        <f t="shared" si="18"/>
        <v>10624</v>
      </c>
      <c r="H143" s="333">
        <f t="shared" si="9"/>
        <v>6651.6811884255167</v>
      </c>
      <c r="I143" s="344">
        <f t="shared" si="14"/>
        <v>6651.6811884255167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7972</v>
      </c>
      <c r="E144" s="164">
        <f t="shared" si="16"/>
        <v>5304</v>
      </c>
      <c r="F144" s="163">
        <f t="shared" si="17"/>
        <v>2668</v>
      </c>
      <c r="G144" s="163">
        <f t="shared" si="18"/>
        <v>5320</v>
      </c>
      <c r="H144" s="333">
        <f t="shared" si="9"/>
        <v>5978.8554143847659</v>
      </c>
      <c r="I144" s="344">
        <f t="shared" si="14"/>
        <v>5978.8554143847659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2668</v>
      </c>
      <c r="E145" s="164">
        <f t="shared" si="16"/>
        <v>2668</v>
      </c>
      <c r="F145" s="163">
        <f t="shared" si="17"/>
        <v>0</v>
      </c>
      <c r="G145" s="163">
        <f t="shared" si="18"/>
        <v>1334</v>
      </c>
      <c r="H145" s="333">
        <f t="shared" si="9"/>
        <v>2837.2212636821951</v>
      </c>
      <c r="I145" s="344">
        <f t="shared" si="14"/>
        <v>2837.2212636821951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244000</v>
      </c>
      <c r="F155" s="115"/>
      <c r="G155" s="115"/>
      <c r="H155" s="115">
        <f>SUM(H99:H154)</f>
        <v>955943.03239093977</v>
      </c>
      <c r="I155" s="115">
        <f>SUM(I99:I154)</f>
        <v>955943.03239093977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3" priority="1" stopIfTrue="1" operator="equal">
      <formula>$I$10</formula>
    </cfRule>
  </conditionalFormatting>
  <conditionalFormatting sqref="C99:C154">
    <cfRule type="cellIs" dxfId="12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52" zoomScale="78" zoomScaleNormal="78" workbookViewId="0">
      <selection activeCell="E81" sqref="E8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23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280426.68566670635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280426.68566670635</v>
      </c>
      <c r="O6" s="1"/>
      <c r="P6" s="1"/>
    </row>
    <row r="7" spans="1:16" ht="13.5" thickBot="1">
      <c r="C7" s="127" t="s">
        <v>41</v>
      </c>
      <c r="D7" s="227" t="s">
        <v>288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298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2037000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50925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2018</v>
      </c>
      <c r="D17" s="466">
        <v>0</v>
      </c>
      <c r="E17" s="469">
        <v>19755.555555555555</v>
      </c>
      <c r="F17" s="467">
        <v>1758244.4444444445</v>
      </c>
      <c r="G17" s="469">
        <v>125038.30164155026</v>
      </c>
      <c r="H17" s="468">
        <v>125038.30164155026</v>
      </c>
      <c r="I17" s="160">
        <f t="shared" ref="I17:I72" si="0">H17-G17</f>
        <v>0</v>
      </c>
      <c r="J17" s="160"/>
      <c r="K17" s="337">
        <f>+G17</f>
        <v>125038.30164155026</v>
      </c>
      <c r="L17" s="161">
        <f t="shared" ref="L17:L72" si="1">IF(K17&lt;&gt;0,+G17-K17,0)</f>
        <v>0</v>
      </c>
      <c r="M17" s="337">
        <f>+H17</f>
        <v>125038.30164155026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2019</v>
      </c>
      <c r="D18" s="166">
        <f>IF(F17+SUM(E$17:E17)=D$10,F17,D$10-SUM(E$17:E17))</f>
        <v>2017244.4444444445</v>
      </c>
      <c r="E18" s="164">
        <f t="shared" ref="E18:E72" si="4">IF(+I$14&lt;F17,I$14,D18)</f>
        <v>50925</v>
      </c>
      <c r="F18" s="163">
        <f t="shared" ref="F18:F72" si="5">+D18-E18</f>
        <v>1966319.4444444445</v>
      </c>
      <c r="G18" s="165">
        <f t="shared" ref="G18:G72" si="6">(D18+F18)/2*I$12+E18</f>
        <v>280426.68566670635</v>
      </c>
      <c r="H18" s="147">
        <f t="shared" ref="H18:H72" si="7">+(D18+F18)/2*I$13+E18</f>
        <v>280426.68566670635</v>
      </c>
      <c r="I18" s="160">
        <f t="shared" si="0"/>
        <v>0</v>
      </c>
      <c r="J18" s="160"/>
      <c r="K18" s="335"/>
      <c r="L18" s="162">
        <f t="shared" si="1"/>
        <v>0</v>
      </c>
      <c r="M18" s="335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2020</v>
      </c>
      <c r="D19" s="166">
        <f>IF(F18+SUM(E$17:E18)=D$10,F18,D$10-SUM(E$17:E18))</f>
        <v>1966319.4444444445</v>
      </c>
      <c r="E19" s="164">
        <f t="shared" si="4"/>
        <v>50925</v>
      </c>
      <c r="F19" s="163">
        <f t="shared" si="5"/>
        <v>1915394.4444444445</v>
      </c>
      <c r="G19" s="165">
        <f t="shared" si="6"/>
        <v>274558.88805202476</v>
      </c>
      <c r="H19" s="147">
        <f t="shared" si="7"/>
        <v>274558.88805202476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1915394.4444444445</v>
      </c>
      <c r="E20" s="164">
        <f t="shared" si="4"/>
        <v>50925</v>
      </c>
      <c r="F20" s="163">
        <f t="shared" si="5"/>
        <v>1864469.4444444445</v>
      </c>
      <c r="G20" s="165">
        <f t="shared" si="6"/>
        <v>268691.09043734311</v>
      </c>
      <c r="H20" s="147">
        <f t="shared" si="7"/>
        <v>268691.09043734311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1864469.4444444445</v>
      </c>
      <c r="E21" s="164">
        <f t="shared" si="4"/>
        <v>50925</v>
      </c>
      <c r="F21" s="163">
        <f t="shared" si="5"/>
        <v>1813544.4444444445</v>
      </c>
      <c r="G21" s="165">
        <f t="shared" si="6"/>
        <v>262823.29282266152</v>
      </c>
      <c r="H21" s="147">
        <f t="shared" si="7"/>
        <v>262823.29282266152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1813544.4444444445</v>
      </c>
      <c r="E22" s="164">
        <f t="shared" si="4"/>
        <v>50925</v>
      </c>
      <c r="F22" s="163">
        <f t="shared" si="5"/>
        <v>1762619.4444444445</v>
      </c>
      <c r="G22" s="165">
        <f t="shared" si="6"/>
        <v>256955.4952079799</v>
      </c>
      <c r="H22" s="147">
        <f t="shared" si="7"/>
        <v>256955.4952079799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1762619.4444444445</v>
      </c>
      <c r="E23" s="164">
        <f t="shared" si="4"/>
        <v>50925</v>
      </c>
      <c r="F23" s="163">
        <f t="shared" si="5"/>
        <v>1711694.4444444445</v>
      </c>
      <c r="G23" s="165">
        <f t="shared" si="6"/>
        <v>251087.69759329828</v>
      </c>
      <c r="H23" s="147">
        <f t="shared" si="7"/>
        <v>251087.69759329828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1711694.4444444445</v>
      </c>
      <c r="E24" s="164">
        <f t="shared" si="4"/>
        <v>50925</v>
      </c>
      <c r="F24" s="163">
        <f t="shared" si="5"/>
        <v>1660769.4444444445</v>
      </c>
      <c r="G24" s="165">
        <f t="shared" si="6"/>
        <v>245219.89997861665</v>
      </c>
      <c r="H24" s="147">
        <f t="shared" si="7"/>
        <v>245219.89997861665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1660769.4444444445</v>
      </c>
      <c r="E25" s="164">
        <f t="shared" si="4"/>
        <v>50925</v>
      </c>
      <c r="F25" s="163">
        <f t="shared" si="5"/>
        <v>1609844.4444444445</v>
      </c>
      <c r="G25" s="165">
        <f t="shared" si="6"/>
        <v>239352.10236393506</v>
      </c>
      <c r="H25" s="147">
        <f t="shared" si="7"/>
        <v>239352.10236393506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1609844.4444444445</v>
      </c>
      <c r="E26" s="164">
        <f t="shared" si="4"/>
        <v>50925</v>
      </c>
      <c r="F26" s="163">
        <f t="shared" si="5"/>
        <v>1558919.4444444445</v>
      </c>
      <c r="G26" s="165">
        <f t="shared" si="6"/>
        <v>233484.30474925344</v>
      </c>
      <c r="H26" s="147">
        <f t="shared" si="7"/>
        <v>233484.30474925344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1558919.4444444445</v>
      </c>
      <c r="E27" s="164">
        <f t="shared" si="4"/>
        <v>50925</v>
      </c>
      <c r="F27" s="163">
        <f t="shared" si="5"/>
        <v>1507994.4444444445</v>
      </c>
      <c r="G27" s="165">
        <f t="shared" si="6"/>
        <v>227616.50713457182</v>
      </c>
      <c r="H27" s="147">
        <f t="shared" si="7"/>
        <v>227616.50713457182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1507994.4444444445</v>
      </c>
      <c r="E28" s="164">
        <f t="shared" si="4"/>
        <v>50925</v>
      </c>
      <c r="F28" s="163">
        <f t="shared" si="5"/>
        <v>1457069.4444444445</v>
      </c>
      <c r="G28" s="165">
        <f t="shared" si="6"/>
        <v>221748.7095198902</v>
      </c>
      <c r="H28" s="147">
        <f t="shared" si="7"/>
        <v>221748.7095198902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1457069.4444444445</v>
      </c>
      <c r="E29" s="164">
        <f t="shared" si="4"/>
        <v>50925</v>
      </c>
      <c r="F29" s="163">
        <f t="shared" si="5"/>
        <v>1406144.4444444445</v>
      </c>
      <c r="G29" s="165">
        <f t="shared" si="6"/>
        <v>215880.91190520857</v>
      </c>
      <c r="H29" s="147">
        <f t="shared" si="7"/>
        <v>215880.91190520857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1406144.4444444445</v>
      </c>
      <c r="E30" s="164">
        <f t="shared" si="4"/>
        <v>50925</v>
      </c>
      <c r="F30" s="163">
        <f t="shared" si="5"/>
        <v>1355219.4444444445</v>
      </c>
      <c r="G30" s="165">
        <f t="shared" si="6"/>
        <v>210013.11429052698</v>
      </c>
      <c r="H30" s="147">
        <f t="shared" si="7"/>
        <v>210013.11429052698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1355219.4444444445</v>
      </c>
      <c r="E31" s="164">
        <f t="shared" si="4"/>
        <v>50925</v>
      </c>
      <c r="F31" s="163">
        <f t="shared" si="5"/>
        <v>1304294.4444444445</v>
      </c>
      <c r="G31" s="165">
        <f t="shared" si="6"/>
        <v>204145.31667584536</v>
      </c>
      <c r="H31" s="147">
        <f t="shared" si="7"/>
        <v>204145.31667584536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1304294.4444444445</v>
      </c>
      <c r="E32" s="164">
        <f t="shared" si="4"/>
        <v>50925</v>
      </c>
      <c r="F32" s="163">
        <f t="shared" si="5"/>
        <v>1253369.4444444445</v>
      </c>
      <c r="G32" s="165">
        <f t="shared" si="6"/>
        <v>198277.51906116374</v>
      </c>
      <c r="H32" s="147">
        <f t="shared" si="7"/>
        <v>198277.51906116374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1253369.4444444445</v>
      </c>
      <c r="E33" s="164">
        <f t="shared" si="4"/>
        <v>50925</v>
      </c>
      <c r="F33" s="163">
        <f t="shared" si="5"/>
        <v>1202444.4444444445</v>
      </c>
      <c r="G33" s="165">
        <f t="shared" si="6"/>
        <v>192409.72144648212</v>
      </c>
      <c r="H33" s="147">
        <f t="shared" si="7"/>
        <v>192409.72144648212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1202444.4444444445</v>
      </c>
      <c r="E34" s="164">
        <f t="shared" si="4"/>
        <v>50925</v>
      </c>
      <c r="F34" s="163">
        <f t="shared" si="5"/>
        <v>1151519.4444444445</v>
      </c>
      <c r="G34" s="165">
        <f t="shared" si="6"/>
        <v>186541.92383180052</v>
      </c>
      <c r="H34" s="147">
        <f t="shared" si="7"/>
        <v>186541.92383180052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1151519.4444444445</v>
      </c>
      <c r="E35" s="164">
        <f t="shared" si="4"/>
        <v>50925</v>
      </c>
      <c r="F35" s="163">
        <f t="shared" si="5"/>
        <v>1100594.4444444445</v>
      </c>
      <c r="G35" s="165">
        <f t="shared" si="6"/>
        <v>180674.1262171189</v>
      </c>
      <c r="H35" s="147">
        <f t="shared" si="7"/>
        <v>180674.1262171189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1100594.4444444445</v>
      </c>
      <c r="E36" s="164">
        <f t="shared" si="4"/>
        <v>50925</v>
      </c>
      <c r="F36" s="163">
        <f t="shared" si="5"/>
        <v>1049669.4444444445</v>
      </c>
      <c r="G36" s="165">
        <f t="shared" si="6"/>
        <v>174806.32860243728</v>
      </c>
      <c r="H36" s="147">
        <f t="shared" si="7"/>
        <v>174806.32860243728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1049669.4444444445</v>
      </c>
      <c r="E37" s="164">
        <f t="shared" si="4"/>
        <v>50925</v>
      </c>
      <c r="F37" s="163">
        <f t="shared" si="5"/>
        <v>998744.4444444445</v>
      </c>
      <c r="G37" s="165">
        <f t="shared" si="6"/>
        <v>168938.53098775566</v>
      </c>
      <c r="H37" s="147">
        <f t="shared" si="7"/>
        <v>168938.53098775566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998744.4444444445</v>
      </c>
      <c r="E38" s="164">
        <f t="shared" si="4"/>
        <v>50925</v>
      </c>
      <c r="F38" s="163">
        <f t="shared" si="5"/>
        <v>947819.4444444445</v>
      </c>
      <c r="G38" s="165">
        <f t="shared" si="6"/>
        <v>163070.73337307404</v>
      </c>
      <c r="H38" s="147">
        <f t="shared" si="7"/>
        <v>163070.73337307404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947819.4444444445</v>
      </c>
      <c r="E39" s="164">
        <f t="shared" si="4"/>
        <v>50925</v>
      </c>
      <c r="F39" s="163">
        <f t="shared" si="5"/>
        <v>896894.4444444445</v>
      </c>
      <c r="G39" s="165">
        <f t="shared" si="6"/>
        <v>157202.93575839244</v>
      </c>
      <c r="H39" s="147">
        <f t="shared" si="7"/>
        <v>157202.93575839244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896894.4444444445</v>
      </c>
      <c r="E40" s="164">
        <f t="shared" si="4"/>
        <v>50925</v>
      </c>
      <c r="F40" s="163">
        <f t="shared" si="5"/>
        <v>845969.4444444445</v>
      </c>
      <c r="G40" s="165">
        <f t="shared" si="6"/>
        <v>151335.13814371082</v>
      </c>
      <c r="H40" s="147">
        <f t="shared" si="7"/>
        <v>151335.13814371082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845969.4444444445</v>
      </c>
      <c r="E41" s="164">
        <f t="shared" si="4"/>
        <v>50925</v>
      </c>
      <c r="F41" s="163">
        <f t="shared" si="5"/>
        <v>795044.4444444445</v>
      </c>
      <c r="G41" s="165">
        <f t="shared" si="6"/>
        <v>145467.3405290292</v>
      </c>
      <c r="H41" s="147">
        <f t="shared" si="7"/>
        <v>145467.3405290292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795044.4444444445</v>
      </c>
      <c r="E42" s="164">
        <f t="shared" si="4"/>
        <v>50925</v>
      </c>
      <c r="F42" s="163">
        <f t="shared" si="5"/>
        <v>744119.4444444445</v>
      </c>
      <c r="G42" s="165">
        <f t="shared" si="6"/>
        <v>139599.54291434761</v>
      </c>
      <c r="H42" s="147">
        <f t="shared" si="7"/>
        <v>139599.54291434761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744119.4444444445</v>
      </c>
      <c r="E43" s="164">
        <f t="shared" si="4"/>
        <v>50925</v>
      </c>
      <c r="F43" s="163">
        <f t="shared" si="5"/>
        <v>693194.4444444445</v>
      </c>
      <c r="G43" s="165">
        <f t="shared" si="6"/>
        <v>133731.74529966596</v>
      </c>
      <c r="H43" s="147">
        <f t="shared" si="7"/>
        <v>133731.74529966596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693194.4444444445</v>
      </c>
      <c r="E44" s="164">
        <f t="shared" si="4"/>
        <v>50925</v>
      </c>
      <c r="F44" s="163">
        <f t="shared" si="5"/>
        <v>642269.4444444445</v>
      </c>
      <c r="G44" s="165">
        <f t="shared" si="6"/>
        <v>127863.94768498436</v>
      </c>
      <c r="H44" s="147">
        <f t="shared" si="7"/>
        <v>127863.94768498436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642269.4444444445</v>
      </c>
      <c r="E45" s="164">
        <f t="shared" si="4"/>
        <v>50925</v>
      </c>
      <c r="F45" s="163">
        <f t="shared" si="5"/>
        <v>591344.4444444445</v>
      </c>
      <c r="G45" s="165">
        <f t="shared" si="6"/>
        <v>121996.15007030274</v>
      </c>
      <c r="H45" s="147">
        <f t="shared" si="7"/>
        <v>121996.15007030274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591344.4444444445</v>
      </c>
      <c r="E46" s="164">
        <f t="shared" si="4"/>
        <v>50925</v>
      </c>
      <c r="F46" s="163">
        <f t="shared" si="5"/>
        <v>540419.4444444445</v>
      </c>
      <c r="G46" s="165">
        <f t="shared" si="6"/>
        <v>116128.35245562112</v>
      </c>
      <c r="H46" s="147">
        <f t="shared" si="7"/>
        <v>116128.35245562112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540419.4444444445</v>
      </c>
      <c r="E47" s="164">
        <f t="shared" si="4"/>
        <v>50925</v>
      </c>
      <c r="F47" s="163">
        <f t="shared" si="5"/>
        <v>489494.4444444445</v>
      </c>
      <c r="G47" s="165">
        <f t="shared" si="6"/>
        <v>110260.55484093951</v>
      </c>
      <c r="H47" s="147">
        <f t="shared" si="7"/>
        <v>110260.55484093951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489494.4444444445</v>
      </c>
      <c r="E48" s="164">
        <f t="shared" si="4"/>
        <v>50925</v>
      </c>
      <c r="F48" s="163">
        <f t="shared" si="5"/>
        <v>438569.4444444445</v>
      </c>
      <c r="G48" s="165">
        <f t="shared" si="6"/>
        <v>104392.75722625791</v>
      </c>
      <c r="H48" s="147">
        <f t="shared" si="7"/>
        <v>104392.75722625791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438569.4444444445</v>
      </c>
      <c r="E49" s="164">
        <f t="shared" si="4"/>
        <v>50925</v>
      </c>
      <c r="F49" s="163">
        <f t="shared" si="5"/>
        <v>387644.4444444445</v>
      </c>
      <c r="G49" s="165">
        <f t="shared" si="6"/>
        <v>98524.959611576283</v>
      </c>
      <c r="H49" s="147">
        <f t="shared" si="7"/>
        <v>98524.959611576283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387644.4444444445</v>
      </c>
      <c r="E50" s="164">
        <f t="shared" si="4"/>
        <v>50925</v>
      </c>
      <c r="F50" s="163">
        <f t="shared" si="5"/>
        <v>336719.4444444445</v>
      </c>
      <c r="G50" s="165">
        <f t="shared" si="6"/>
        <v>92657.161996894662</v>
      </c>
      <c r="H50" s="147">
        <f t="shared" si="7"/>
        <v>92657.161996894662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336719.4444444445</v>
      </c>
      <c r="E51" s="164">
        <f t="shared" si="4"/>
        <v>50925</v>
      </c>
      <c r="F51" s="163">
        <f t="shared" si="5"/>
        <v>285794.4444444445</v>
      </c>
      <c r="G51" s="165">
        <f t="shared" si="6"/>
        <v>86789.36438221304</v>
      </c>
      <c r="H51" s="147">
        <f t="shared" si="7"/>
        <v>86789.36438221304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285794.4444444445</v>
      </c>
      <c r="E52" s="164">
        <f t="shared" si="4"/>
        <v>50925</v>
      </c>
      <c r="F52" s="163">
        <f t="shared" si="5"/>
        <v>234869.4444444445</v>
      </c>
      <c r="G52" s="165">
        <f t="shared" si="6"/>
        <v>80921.566767531433</v>
      </c>
      <c r="H52" s="147">
        <f t="shared" si="7"/>
        <v>80921.566767531433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234869.4444444445</v>
      </c>
      <c r="E53" s="164">
        <f t="shared" si="4"/>
        <v>50925</v>
      </c>
      <c r="F53" s="163">
        <f t="shared" si="5"/>
        <v>183944.4444444445</v>
      </c>
      <c r="G53" s="165">
        <f t="shared" si="6"/>
        <v>75053.769152849825</v>
      </c>
      <c r="H53" s="147">
        <f t="shared" si="7"/>
        <v>75053.769152849825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183944.4444444445</v>
      </c>
      <c r="E54" s="164">
        <f t="shared" si="4"/>
        <v>50925</v>
      </c>
      <c r="F54" s="163">
        <f t="shared" si="5"/>
        <v>133019.4444444445</v>
      </c>
      <c r="G54" s="165">
        <f t="shared" si="6"/>
        <v>69185.971538168204</v>
      </c>
      <c r="H54" s="147">
        <f t="shared" si="7"/>
        <v>69185.971538168204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133019.4444444445</v>
      </c>
      <c r="E55" s="164">
        <f t="shared" si="4"/>
        <v>50925</v>
      </c>
      <c r="F55" s="163">
        <f t="shared" si="5"/>
        <v>82094.444444444496</v>
      </c>
      <c r="G55" s="165">
        <f t="shared" si="6"/>
        <v>63318.173923486589</v>
      </c>
      <c r="H55" s="147">
        <f t="shared" si="7"/>
        <v>63318.173923486589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82094.444444444496</v>
      </c>
      <c r="E56" s="164">
        <f t="shared" si="4"/>
        <v>50925</v>
      </c>
      <c r="F56" s="163">
        <f t="shared" si="5"/>
        <v>31169.444444444496</v>
      </c>
      <c r="G56" s="165">
        <f t="shared" si="6"/>
        <v>57450.376308804975</v>
      </c>
      <c r="H56" s="147">
        <f t="shared" si="7"/>
        <v>57450.376308804975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31169.444444444496</v>
      </c>
      <c r="E57" s="164">
        <f t="shared" si="4"/>
        <v>31169.444444444496</v>
      </c>
      <c r="F57" s="163">
        <f t="shared" si="5"/>
        <v>0</v>
      </c>
      <c r="G57" s="165">
        <f t="shared" si="6"/>
        <v>32965.183195176578</v>
      </c>
      <c r="H57" s="147">
        <f t="shared" si="7"/>
        <v>32965.183195176578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2037000</v>
      </c>
      <c r="F73" s="115"/>
      <c r="G73" s="115">
        <f>SUM(G17:G72)</f>
        <v>6746606.193359198</v>
      </c>
      <c r="H73" s="115">
        <f>SUM(H17:H72)</f>
        <v>6746606.193359198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23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Elk City 138 KV Move Load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2037000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44283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2018</v>
      </c>
      <c r="D99" s="158">
        <v>0</v>
      </c>
      <c r="E99" s="165">
        <f>IF(OR(D11=I10,D92&lt;100000),0,J$96/12*(12-D94))</f>
        <v>22141.5</v>
      </c>
      <c r="F99" s="163">
        <f>IF(D93=C99,+D92-E99,+D99-E99)</f>
        <v>2014858.5</v>
      </c>
      <c r="G99" s="218">
        <f>+(F99+D99)/2</f>
        <v>1007429.25</v>
      </c>
      <c r="H99" s="218">
        <f t="shared" ref="H99:H154" si="9">+J$94*G99+E99</f>
        <v>149936.44059625635</v>
      </c>
      <c r="I99" s="218">
        <f>+J$95*G99+E99</f>
        <v>149936.44059625635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>
        <f>IF(D93="","-",+C99+1)</f>
        <v>2019</v>
      </c>
      <c r="D100" s="158">
        <f>IF(F99+SUM(E$99:E99)=D$92,F99,D$92-SUM(E$99:E99))</f>
        <v>2014858.5</v>
      </c>
      <c r="E100" s="164">
        <f>IF(+J$96&lt;F99,J$96,D100)</f>
        <v>44283</v>
      </c>
      <c r="F100" s="163">
        <f>+D100-E100</f>
        <v>1970575.5</v>
      </c>
      <c r="G100" s="163">
        <f>+(F100+D100)/2</f>
        <v>1992717</v>
      </c>
      <c r="H100" s="333">
        <f t="shared" si="9"/>
        <v>297064.17608770065</v>
      </c>
      <c r="I100" s="344">
        <f t="shared" ref="I100:I154" si="14">+J$95*G100+E100</f>
        <v>297064.17608770065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1970575.5</v>
      </c>
      <c r="E101" s="164">
        <f t="shared" ref="E101:E154" si="16">IF(+J$96&lt;F100,J$96,D101)</f>
        <v>44283</v>
      </c>
      <c r="F101" s="163">
        <f t="shared" ref="F101:F154" si="17">+D101-E101</f>
        <v>1926292.5</v>
      </c>
      <c r="G101" s="163">
        <f t="shared" ref="G101:G154" si="18">+(F101+D101)/2</f>
        <v>1948434</v>
      </c>
      <c r="H101" s="333">
        <f t="shared" si="9"/>
        <v>291446.76587807643</v>
      </c>
      <c r="I101" s="344">
        <f t="shared" si="14"/>
        <v>291446.76587807643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1926292.5</v>
      </c>
      <c r="E102" s="164">
        <f t="shared" si="16"/>
        <v>44283</v>
      </c>
      <c r="F102" s="163">
        <f t="shared" si="17"/>
        <v>1882009.5</v>
      </c>
      <c r="G102" s="163">
        <f t="shared" si="18"/>
        <v>1904151</v>
      </c>
      <c r="H102" s="333">
        <f t="shared" si="9"/>
        <v>285829.35566845228</v>
      </c>
      <c r="I102" s="344">
        <f t="shared" si="14"/>
        <v>285829.35566845228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1882009.5</v>
      </c>
      <c r="E103" s="164">
        <f t="shared" si="16"/>
        <v>44283</v>
      </c>
      <c r="F103" s="163">
        <f t="shared" si="17"/>
        <v>1837726.5</v>
      </c>
      <c r="G103" s="163">
        <f t="shared" si="18"/>
        <v>1859868</v>
      </c>
      <c r="H103" s="333">
        <f t="shared" si="9"/>
        <v>280211.94545882812</v>
      </c>
      <c r="I103" s="344">
        <f t="shared" si="14"/>
        <v>280211.94545882812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1837726.5</v>
      </c>
      <c r="E104" s="164">
        <f t="shared" si="16"/>
        <v>44283</v>
      </c>
      <c r="F104" s="163">
        <f t="shared" si="17"/>
        <v>1793443.5</v>
      </c>
      <c r="G104" s="163">
        <f t="shared" si="18"/>
        <v>1815585</v>
      </c>
      <c r="H104" s="333">
        <f t="shared" si="9"/>
        <v>274594.53524920391</v>
      </c>
      <c r="I104" s="344">
        <f t="shared" si="14"/>
        <v>274594.53524920391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1793443.5</v>
      </c>
      <c r="E105" s="164">
        <f t="shared" si="16"/>
        <v>44283</v>
      </c>
      <c r="F105" s="163">
        <f t="shared" si="17"/>
        <v>1749160.5</v>
      </c>
      <c r="G105" s="163">
        <f t="shared" si="18"/>
        <v>1771302</v>
      </c>
      <c r="H105" s="333">
        <f t="shared" si="9"/>
        <v>268977.12503957981</v>
      </c>
      <c r="I105" s="344">
        <f t="shared" si="14"/>
        <v>268977.12503957981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1749160.5</v>
      </c>
      <c r="E106" s="164">
        <f t="shared" si="16"/>
        <v>44283</v>
      </c>
      <c r="F106" s="163">
        <f t="shared" si="17"/>
        <v>1704877.5</v>
      </c>
      <c r="G106" s="163">
        <f t="shared" si="18"/>
        <v>1727019</v>
      </c>
      <c r="H106" s="333">
        <f t="shared" si="9"/>
        <v>263359.7148299556</v>
      </c>
      <c r="I106" s="344">
        <f t="shared" si="14"/>
        <v>263359.7148299556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1704877.5</v>
      </c>
      <c r="E107" s="164">
        <f t="shared" si="16"/>
        <v>44283</v>
      </c>
      <c r="F107" s="163">
        <f t="shared" si="17"/>
        <v>1660594.5</v>
      </c>
      <c r="G107" s="163">
        <f t="shared" si="18"/>
        <v>1682736</v>
      </c>
      <c r="H107" s="333">
        <f t="shared" si="9"/>
        <v>257742.30462033142</v>
      </c>
      <c r="I107" s="344">
        <f t="shared" si="14"/>
        <v>257742.30462033142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1660594.5</v>
      </c>
      <c r="E108" s="164">
        <f t="shared" si="16"/>
        <v>44283</v>
      </c>
      <c r="F108" s="163">
        <f t="shared" si="17"/>
        <v>1616311.5</v>
      </c>
      <c r="G108" s="163">
        <f t="shared" si="18"/>
        <v>1638453</v>
      </c>
      <c r="H108" s="333">
        <f t="shared" si="9"/>
        <v>252124.89441070726</v>
      </c>
      <c r="I108" s="344">
        <f t="shared" si="14"/>
        <v>252124.89441070726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1616311.5</v>
      </c>
      <c r="E109" s="164">
        <f t="shared" si="16"/>
        <v>44283</v>
      </c>
      <c r="F109" s="163">
        <f t="shared" si="17"/>
        <v>1572028.5</v>
      </c>
      <c r="G109" s="163">
        <f t="shared" si="18"/>
        <v>1594170</v>
      </c>
      <c r="H109" s="333">
        <f t="shared" si="9"/>
        <v>246507.48420108308</v>
      </c>
      <c r="I109" s="344">
        <f t="shared" si="14"/>
        <v>246507.48420108308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1572028.5</v>
      </c>
      <c r="E110" s="164">
        <f t="shared" si="16"/>
        <v>44283</v>
      </c>
      <c r="F110" s="163">
        <f t="shared" si="17"/>
        <v>1527745.5</v>
      </c>
      <c r="G110" s="163">
        <f t="shared" si="18"/>
        <v>1549887</v>
      </c>
      <c r="H110" s="333">
        <f t="shared" si="9"/>
        <v>240890.07399145892</v>
      </c>
      <c r="I110" s="344">
        <f t="shared" si="14"/>
        <v>240890.07399145892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1527745.5</v>
      </c>
      <c r="E111" s="164">
        <f t="shared" si="16"/>
        <v>44283</v>
      </c>
      <c r="F111" s="163">
        <f t="shared" si="17"/>
        <v>1483462.5</v>
      </c>
      <c r="G111" s="163">
        <f t="shared" si="18"/>
        <v>1505604</v>
      </c>
      <c r="H111" s="333">
        <f t="shared" si="9"/>
        <v>235272.66378183474</v>
      </c>
      <c r="I111" s="344">
        <f t="shared" si="14"/>
        <v>235272.66378183474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1483462.5</v>
      </c>
      <c r="E112" s="164">
        <f t="shared" si="16"/>
        <v>44283</v>
      </c>
      <c r="F112" s="163">
        <f t="shared" si="17"/>
        <v>1439179.5</v>
      </c>
      <c r="G112" s="163">
        <f t="shared" si="18"/>
        <v>1461321</v>
      </c>
      <c r="H112" s="333">
        <f t="shared" si="9"/>
        <v>229655.25357221058</v>
      </c>
      <c r="I112" s="344">
        <f t="shared" si="14"/>
        <v>229655.25357221058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1439179.5</v>
      </c>
      <c r="E113" s="164">
        <f t="shared" si="16"/>
        <v>44283</v>
      </c>
      <c r="F113" s="163">
        <f t="shared" si="17"/>
        <v>1394896.5</v>
      </c>
      <c r="G113" s="163">
        <f t="shared" si="18"/>
        <v>1417038</v>
      </c>
      <c r="H113" s="333">
        <f t="shared" si="9"/>
        <v>224037.8433625864</v>
      </c>
      <c r="I113" s="344">
        <f t="shared" si="14"/>
        <v>224037.8433625864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1394896.5</v>
      </c>
      <c r="E114" s="164">
        <f t="shared" si="16"/>
        <v>44283</v>
      </c>
      <c r="F114" s="163">
        <f t="shared" si="17"/>
        <v>1350613.5</v>
      </c>
      <c r="G114" s="163">
        <f t="shared" si="18"/>
        <v>1372755</v>
      </c>
      <c r="H114" s="333">
        <f t="shared" si="9"/>
        <v>218420.43315296224</v>
      </c>
      <c r="I114" s="344">
        <f t="shared" si="14"/>
        <v>218420.43315296224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1350613.5</v>
      </c>
      <c r="E115" s="164">
        <f t="shared" si="16"/>
        <v>44283</v>
      </c>
      <c r="F115" s="163">
        <f t="shared" si="17"/>
        <v>1306330.5</v>
      </c>
      <c r="G115" s="163">
        <f t="shared" si="18"/>
        <v>1328472</v>
      </c>
      <c r="H115" s="333">
        <f t="shared" si="9"/>
        <v>212803.02294333806</v>
      </c>
      <c r="I115" s="344">
        <f t="shared" si="14"/>
        <v>212803.02294333806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1306330.5</v>
      </c>
      <c r="E116" s="164">
        <f t="shared" si="16"/>
        <v>44283</v>
      </c>
      <c r="F116" s="163">
        <f t="shared" si="17"/>
        <v>1262047.5</v>
      </c>
      <c r="G116" s="163">
        <f t="shared" si="18"/>
        <v>1284189</v>
      </c>
      <c r="H116" s="333">
        <f t="shared" si="9"/>
        <v>207185.6127337139</v>
      </c>
      <c r="I116" s="344">
        <f t="shared" si="14"/>
        <v>207185.6127337139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1262047.5</v>
      </c>
      <c r="E117" s="164">
        <f t="shared" si="16"/>
        <v>44283</v>
      </c>
      <c r="F117" s="163">
        <f t="shared" si="17"/>
        <v>1217764.5</v>
      </c>
      <c r="G117" s="163">
        <f t="shared" si="18"/>
        <v>1239906</v>
      </c>
      <c r="H117" s="333">
        <f t="shared" si="9"/>
        <v>201568.20252408972</v>
      </c>
      <c r="I117" s="344">
        <f t="shared" si="14"/>
        <v>201568.20252408972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1217764.5</v>
      </c>
      <c r="E118" s="164">
        <f t="shared" si="16"/>
        <v>44283</v>
      </c>
      <c r="F118" s="163">
        <f t="shared" si="17"/>
        <v>1173481.5</v>
      </c>
      <c r="G118" s="163">
        <f t="shared" si="18"/>
        <v>1195623</v>
      </c>
      <c r="H118" s="333">
        <f t="shared" si="9"/>
        <v>195950.79231446557</v>
      </c>
      <c r="I118" s="344">
        <f t="shared" si="14"/>
        <v>195950.79231446557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1173481.5</v>
      </c>
      <c r="E119" s="164">
        <f t="shared" si="16"/>
        <v>44283</v>
      </c>
      <c r="F119" s="163">
        <f t="shared" si="17"/>
        <v>1129198.5</v>
      </c>
      <c r="G119" s="163">
        <f t="shared" si="18"/>
        <v>1151340</v>
      </c>
      <c r="H119" s="333">
        <f t="shared" si="9"/>
        <v>190333.38210484138</v>
      </c>
      <c r="I119" s="344">
        <f t="shared" si="14"/>
        <v>190333.38210484138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1129198.5</v>
      </c>
      <c r="E120" s="164">
        <f t="shared" si="16"/>
        <v>44283</v>
      </c>
      <c r="F120" s="163">
        <f t="shared" si="17"/>
        <v>1084915.5</v>
      </c>
      <c r="G120" s="163">
        <f t="shared" si="18"/>
        <v>1107057</v>
      </c>
      <c r="H120" s="333">
        <f t="shared" si="9"/>
        <v>184715.97189521723</v>
      </c>
      <c r="I120" s="344">
        <f t="shared" si="14"/>
        <v>184715.97189521723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1084915.5</v>
      </c>
      <c r="E121" s="164">
        <f t="shared" si="16"/>
        <v>44283</v>
      </c>
      <c r="F121" s="163">
        <f t="shared" si="17"/>
        <v>1040632.5</v>
      </c>
      <c r="G121" s="163">
        <f t="shared" si="18"/>
        <v>1062774</v>
      </c>
      <c r="H121" s="333">
        <f t="shared" si="9"/>
        <v>179098.56168559304</v>
      </c>
      <c r="I121" s="344">
        <f t="shared" si="14"/>
        <v>179098.56168559304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1040632.5</v>
      </c>
      <c r="E122" s="164">
        <f t="shared" si="16"/>
        <v>44283</v>
      </c>
      <c r="F122" s="163">
        <f t="shared" si="17"/>
        <v>996349.5</v>
      </c>
      <c r="G122" s="163">
        <f t="shared" si="18"/>
        <v>1018491</v>
      </c>
      <c r="H122" s="333">
        <f t="shared" si="9"/>
        <v>173481.15147596889</v>
      </c>
      <c r="I122" s="344">
        <f t="shared" si="14"/>
        <v>173481.15147596889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996349.5</v>
      </c>
      <c r="E123" s="164">
        <f t="shared" si="16"/>
        <v>44283</v>
      </c>
      <c r="F123" s="163">
        <f t="shared" si="17"/>
        <v>952066.5</v>
      </c>
      <c r="G123" s="163">
        <f t="shared" si="18"/>
        <v>974208</v>
      </c>
      <c r="H123" s="333">
        <f t="shared" si="9"/>
        <v>167863.74126634473</v>
      </c>
      <c r="I123" s="344">
        <f t="shared" si="14"/>
        <v>167863.74126634473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952066.5</v>
      </c>
      <c r="E124" s="164">
        <f t="shared" si="16"/>
        <v>44283</v>
      </c>
      <c r="F124" s="163">
        <f t="shared" si="17"/>
        <v>907783.5</v>
      </c>
      <c r="G124" s="163">
        <f t="shared" si="18"/>
        <v>929925</v>
      </c>
      <c r="H124" s="333">
        <f t="shared" si="9"/>
        <v>162246.33105672055</v>
      </c>
      <c r="I124" s="344">
        <f t="shared" si="14"/>
        <v>162246.33105672055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907783.5</v>
      </c>
      <c r="E125" s="164">
        <f t="shared" si="16"/>
        <v>44283</v>
      </c>
      <c r="F125" s="163">
        <f t="shared" si="17"/>
        <v>863500.5</v>
      </c>
      <c r="G125" s="163">
        <f t="shared" si="18"/>
        <v>885642</v>
      </c>
      <c r="H125" s="333">
        <f t="shared" si="9"/>
        <v>156628.92084709636</v>
      </c>
      <c r="I125" s="344">
        <f t="shared" si="14"/>
        <v>156628.92084709636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863500.5</v>
      </c>
      <c r="E126" s="164">
        <f t="shared" si="16"/>
        <v>44283</v>
      </c>
      <c r="F126" s="163">
        <f t="shared" si="17"/>
        <v>819217.5</v>
      </c>
      <c r="G126" s="163">
        <f t="shared" si="18"/>
        <v>841359</v>
      </c>
      <c r="H126" s="333">
        <f t="shared" si="9"/>
        <v>151011.51063747221</v>
      </c>
      <c r="I126" s="344">
        <f t="shared" si="14"/>
        <v>151011.51063747221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819217.5</v>
      </c>
      <c r="E127" s="164">
        <f t="shared" si="16"/>
        <v>44283</v>
      </c>
      <c r="F127" s="163">
        <f t="shared" si="17"/>
        <v>774934.5</v>
      </c>
      <c r="G127" s="163">
        <f t="shared" si="18"/>
        <v>797076</v>
      </c>
      <c r="H127" s="333">
        <f t="shared" si="9"/>
        <v>145394.10042784805</v>
      </c>
      <c r="I127" s="344">
        <f t="shared" si="14"/>
        <v>145394.10042784805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774934.5</v>
      </c>
      <c r="E128" s="164">
        <f t="shared" si="16"/>
        <v>44283</v>
      </c>
      <c r="F128" s="163">
        <f t="shared" si="17"/>
        <v>730651.5</v>
      </c>
      <c r="G128" s="163">
        <f t="shared" si="18"/>
        <v>752793</v>
      </c>
      <c r="H128" s="333">
        <f t="shared" si="9"/>
        <v>139776.69021822387</v>
      </c>
      <c r="I128" s="344">
        <f t="shared" si="14"/>
        <v>139776.69021822387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730651.5</v>
      </c>
      <c r="E129" s="164">
        <f t="shared" si="16"/>
        <v>44283</v>
      </c>
      <c r="F129" s="163">
        <f t="shared" si="17"/>
        <v>686368.5</v>
      </c>
      <c r="G129" s="163">
        <f t="shared" si="18"/>
        <v>708510</v>
      </c>
      <c r="H129" s="333">
        <f t="shared" si="9"/>
        <v>134159.28000859969</v>
      </c>
      <c r="I129" s="344">
        <f t="shared" si="14"/>
        <v>134159.28000859969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686368.5</v>
      </c>
      <c r="E130" s="164">
        <f t="shared" si="16"/>
        <v>44283</v>
      </c>
      <c r="F130" s="163">
        <f t="shared" si="17"/>
        <v>642085.5</v>
      </c>
      <c r="G130" s="163">
        <f t="shared" si="18"/>
        <v>664227</v>
      </c>
      <c r="H130" s="333">
        <f t="shared" si="9"/>
        <v>128541.86979897553</v>
      </c>
      <c r="I130" s="344">
        <f t="shared" si="14"/>
        <v>128541.86979897553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642085.5</v>
      </c>
      <c r="E131" s="164">
        <f t="shared" si="16"/>
        <v>44283</v>
      </c>
      <c r="F131" s="163">
        <f t="shared" si="17"/>
        <v>597802.5</v>
      </c>
      <c r="G131" s="163">
        <f t="shared" si="18"/>
        <v>619944</v>
      </c>
      <c r="H131" s="333">
        <f t="shared" si="9"/>
        <v>122924.45958935136</v>
      </c>
      <c r="I131" s="344">
        <f t="shared" si="14"/>
        <v>122924.45958935136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597802.5</v>
      </c>
      <c r="E132" s="164">
        <f t="shared" si="16"/>
        <v>44283</v>
      </c>
      <c r="F132" s="163">
        <f t="shared" si="17"/>
        <v>553519.5</v>
      </c>
      <c r="G132" s="163">
        <f t="shared" si="18"/>
        <v>575661</v>
      </c>
      <c r="H132" s="333">
        <f t="shared" si="9"/>
        <v>117307.04937972719</v>
      </c>
      <c r="I132" s="344">
        <f t="shared" si="14"/>
        <v>117307.04937972719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553519.5</v>
      </c>
      <c r="E133" s="164">
        <f t="shared" si="16"/>
        <v>44283</v>
      </c>
      <c r="F133" s="163">
        <f t="shared" si="17"/>
        <v>509236.5</v>
      </c>
      <c r="G133" s="163">
        <f t="shared" si="18"/>
        <v>531378</v>
      </c>
      <c r="H133" s="333">
        <f t="shared" si="9"/>
        <v>111689.63917010302</v>
      </c>
      <c r="I133" s="344">
        <f t="shared" si="14"/>
        <v>111689.63917010302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509236.5</v>
      </c>
      <c r="E134" s="164">
        <f t="shared" si="16"/>
        <v>44283</v>
      </c>
      <c r="F134" s="163">
        <f t="shared" si="17"/>
        <v>464953.5</v>
      </c>
      <c r="G134" s="163">
        <f t="shared" si="18"/>
        <v>487095</v>
      </c>
      <c r="H134" s="333">
        <f t="shared" si="9"/>
        <v>106072.22896047885</v>
      </c>
      <c r="I134" s="344">
        <f t="shared" si="14"/>
        <v>106072.22896047885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464953.5</v>
      </c>
      <c r="E135" s="164">
        <f t="shared" si="16"/>
        <v>44283</v>
      </c>
      <c r="F135" s="163">
        <f t="shared" si="17"/>
        <v>420670.5</v>
      </c>
      <c r="G135" s="163">
        <f t="shared" si="18"/>
        <v>442812</v>
      </c>
      <c r="H135" s="333">
        <f t="shared" si="9"/>
        <v>100454.81875085468</v>
      </c>
      <c r="I135" s="344">
        <f t="shared" si="14"/>
        <v>100454.81875085468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420670.5</v>
      </c>
      <c r="E136" s="164">
        <f t="shared" si="16"/>
        <v>44283</v>
      </c>
      <c r="F136" s="163">
        <f t="shared" si="17"/>
        <v>376387.5</v>
      </c>
      <c r="G136" s="163">
        <f t="shared" si="18"/>
        <v>398529</v>
      </c>
      <c r="H136" s="333">
        <f t="shared" si="9"/>
        <v>94837.408541230514</v>
      </c>
      <c r="I136" s="344">
        <f t="shared" si="14"/>
        <v>94837.408541230514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376387.5</v>
      </c>
      <c r="E137" s="164">
        <f t="shared" si="16"/>
        <v>44283</v>
      </c>
      <c r="F137" s="163">
        <f t="shared" si="17"/>
        <v>332104.5</v>
      </c>
      <c r="G137" s="163">
        <f t="shared" si="18"/>
        <v>354246</v>
      </c>
      <c r="H137" s="333">
        <f t="shared" si="9"/>
        <v>89219.998331606344</v>
      </c>
      <c r="I137" s="344">
        <f t="shared" si="14"/>
        <v>89219.998331606344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332104.5</v>
      </c>
      <c r="E138" s="164">
        <f t="shared" si="16"/>
        <v>44283</v>
      </c>
      <c r="F138" s="163">
        <f t="shared" si="17"/>
        <v>287821.5</v>
      </c>
      <c r="G138" s="163">
        <f t="shared" si="18"/>
        <v>309963</v>
      </c>
      <c r="H138" s="333">
        <f t="shared" si="9"/>
        <v>83602.588121982175</v>
      </c>
      <c r="I138" s="344">
        <f t="shared" si="14"/>
        <v>83602.588121982175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287821.5</v>
      </c>
      <c r="E139" s="164">
        <f t="shared" si="16"/>
        <v>44283</v>
      </c>
      <c r="F139" s="163">
        <f t="shared" si="17"/>
        <v>243538.5</v>
      </c>
      <c r="G139" s="163">
        <f t="shared" si="18"/>
        <v>265680</v>
      </c>
      <c r="H139" s="333">
        <f t="shared" si="9"/>
        <v>77985.177912357991</v>
      </c>
      <c r="I139" s="344">
        <f t="shared" si="14"/>
        <v>77985.177912357991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243538.5</v>
      </c>
      <c r="E140" s="164">
        <f t="shared" si="16"/>
        <v>44283</v>
      </c>
      <c r="F140" s="163">
        <f t="shared" si="17"/>
        <v>199255.5</v>
      </c>
      <c r="G140" s="163">
        <f t="shared" si="18"/>
        <v>221397</v>
      </c>
      <c r="H140" s="333">
        <f t="shared" si="9"/>
        <v>72367.767702733836</v>
      </c>
      <c r="I140" s="344">
        <f t="shared" si="14"/>
        <v>72367.767702733836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199255.5</v>
      </c>
      <c r="E141" s="164">
        <f t="shared" si="16"/>
        <v>44283</v>
      </c>
      <c r="F141" s="163">
        <f t="shared" si="17"/>
        <v>154972.5</v>
      </c>
      <c r="G141" s="163">
        <f t="shared" si="18"/>
        <v>177114</v>
      </c>
      <c r="H141" s="333">
        <f t="shared" si="9"/>
        <v>66750.357493109666</v>
      </c>
      <c r="I141" s="344">
        <f t="shared" si="14"/>
        <v>66750.357493109666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154972.5</v>
      </c>
      <c r="E142" s="164">
        <f t="shared" si="16"/>
        <v>44283</v>
      </c>
      <c r="F142" s="163">
        <f t="shared" si="17"/>
        <v>110689.5</v>
      </c>
      <c r="G142" s="163">
        <f t="shared" si="18"/>
        <v>132831</v>
      </c>
      <c r="H142" s="333">
        <f t="shared" si="9"/>
        <v>61132.947283485497</v>
      </c>
      <c r="I142" s="344">
        <f t="shared" si="14"/>
        <v>61132.947283485497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110689.5</v>
      </c>
      <c r="E143" s="164">
        <f t="shared" si="16"/>
        <v>44283</v>
      </c>
      <c r="F143" s="163">
        <f t="shared" si="17"/>
        <v>66406.5</v>
      </c>
      <c r="G143" s="163">
        <f t="shared" si="18"/>
        <v>88548</v>
      </c>
      <c r="H143" s="333">
        <f t="shared" si="9"/>
        <v>55515.537073861327</v>
      </c>
      <c r="I143" s="344">
        <f t="shared" si="14"/>
        <v>55515.537073861327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66406.5</v>
      </c>
      <c r="E144" s="164">
        <f t="shared" si="16"/>
        <v>44283</v>
      </c>
      <c r="F144" s="163">
        <f t="shared" si="17"/>
        <v>22123.5</v>
      </c>
      <c r="G144" s="163">
        <f t="shared" si="18"/>
        <v>44265</v>
      </c>
      <c r="H144" s="333">
        <f t="shared" si="9"/>
        <v>49898.126864237151</v>
      </c>
      <c r="I144" s="344">
        <f t="shared" si="14"/>
        <v>49898.126864237151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22123.5</v>
      </c>
      <c r="E145" s="164">
        <f t="shared" si="16"/>
        <v>22123.5</v>
      </c>
      <c r="F145" s="163">
        <f t="shared" si="17"/>
        <v>0</v>
      </c>
      <c r="G145" s="163">
        <f t="shared" si="18"/>
        <v>11061.75</v>
      </c>
      <c r="H145" s="333">
        <f t="shared" si="9"/>
        <v>23526.710879712533</v>
      </c>
      <c r="I145" s="344">
        <f t="shared" si="14"/>
        <v>23526.710879712533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2037000</v>
      </c>
      <c r="F155" s="115"/>
      <c r="G155" s="115"/>
      <c r="H155" s="115">
        <f>SUM(H99:H154)</f>
        <v>7980114.9678945681</v>
      </c>
      <c r="I155" s="115">
        <f>SUM(I99:I154)</f>
        <v>7980114.9678945681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1" priority="1" stopIfTrue="1" operator="equal">
      <formula>$I$10</formula>
    </cfRule>
  </conditionalFormatting>
  <conditionalFormatting sqref="C99:C154">
    <cfRule type="cellIs" dxfId="10" priority="2" stopIfTrue="1" operator="equal">
      <formula>$J$92</formula>
    </cfRule>
  </conditionalFormatting>
  <pageMargins left="0.5" right="0.25" top="1" bottom="0.25" header="0.25" footer="0.5"/>
  <pageSetup scale="47" orientation="landscape" r:id="rId1"/>
  <rowBreaks count="1" manualBreakCount="1">
    <brk id="82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55" zoomScale="78" zoomScaleNormal="78" workbookViewId="0">
      <selection activeCell="A83" sqref="A83:XFD83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24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73419.565193351213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73419.565193351213</v>
      </c>
      <c r="O6" s="1"/>
      <c r="P6" s="1"/>
    </row>
    <row r="7" spans="1:16" ht="13.5" thickBot="1">
      <c r="C7" s="127" t="s">
        <v>41</v>
      </c>
      <c r="D7" s="227" t="s">
        <v>289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299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557000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2019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13925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2019</v>
      </c>
      <c r="D17" s="466">
        <v>0</v>
      </c>
      <c r="E17" s="469">
        <v>11600</v>
      </c>
      <c r="F17" s="467">
        <v>1032400</v>
      </c>
      <c r="G17" s="469">
        <v>73419.565193351213</v>
      </c>
      <c r="H17" s="468">
        <v>73419.565193351213</v>
      </c>
      <c r="I17" s="160">
        <f t="shared" ref="I17:I72" si="0">H17-G17</f>
        <v>0</v>
      </c>
      <c r="J17" s="160"/>
      <c r="K17" s="337">
        <f>+G17</f>
        <v>73419.565193351213</v>
      </c>
      <c r="L17" s="161">
        <f t="shared" ref="L17:L72" si="1">IF(K17&lt;&gt;0,+G17-K17,0)</f>
        <v>0</v>
      </c>
      <c r="M17" s="337">
        <f>+H17</f>
        <v>73419.565193351213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2020</v>
      </c>
      <c r="D18" s="166">
        <f>IF(F17+SUM(E$17:E17)=D$10,F17,D$10-SUM(E$17:E17))</f>
        <v>545400</v>
      </c>
      <c r="E18" s="164">
        <f t="shared" ref="E18:E72" si="4">IF(+I$14&lt;F17,I$14,D18)</f>
        <v>13925</v>
      </c>
      <c r="F18" s="163">
        <f t="shared" ref="F18:F72" si="5">+D18-E18</f>
        <v>531475</v>
      </c>
      <c r="G18" s="165">
        <f t="shared" ref="G18:G72" si="6">(D18+F18)/2*I$12+E18</f>
        <v>75966.085481691349</v>
      </c>
      <c r="H18" s="147">
        <f t="shared" ref="H18:H72" si="7">+(D18+F18)/2*I$13+E18</f>
        <v>75966.085481691349</v>
      </c>
      <c r="I18" s="160">
        <f t="shared" si="0"/>
        <v>0</v>
      </c>
      <c r="J18" s="160"/>
      <c r="K18" s="335"/>
      <c r="L18" s="162">
        <f t="shared" si="1"/>
        <v>0</v>
      </c>
      <c r="M18" s="335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2021</v>
      </c>
      <c r="D19" s="166">
        <f>IF(F18+SUM(E$17:E18)=D$10,F18,D$10-SUM(E$17:E18))</f>
        <v>531475</v>
      </c>
      <c r="E19" s="164">
        <f t="shared" si="4"/>
        <v>13925</v>
      </c>
      <c r="F19" s="163">
        <f t="shared" si="5"/>
        <v>517550</v>
      </c>
      <c r="G19" s="165">
        <f t="shared" si="6"/>
        <v>74361.587066680222</v>
      </c>
      <c r="H19" s="147">
        <f t="shared" si="7"/>
        <v>74361.587066680222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2022</v>
      </c>
      <c r="D20" s="166">
        <f>IF(F19+SUM(E$17:E19)=D$10,F19,D$10-SUM(E$17:E19))</f>
        <v>517550</v>
      </c>
      <c r="E20" s="164">
        <f t="shared" si="4"/>
        <v>13925</v>
      </c>
      <c r="F20" s="163">
        <f t="shared" si="5"/>
        <v>503625</v>
      </c>
      <c r="G20" s="165">
        <f t="shared" si="6"/>
        <v>72757.08865166911</v>
      </c>
      <c r="H20" s="147">
        <f t="shared" si="7"/>
        <v>72757.08865166911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2023</v>
      </c>
      <c r="D21" s="166">
        <f>IF(F20+SUM(E$17:E20)=D$10,F20,D$10-SUM(E$17:E20))</f>
        <v>503625</v>
      </c>
      <c r="E21" s="164">
        <f t="shared" si="4"/>
        <v>13925</v>
      </c>
      <c r="F21" s="163">
        <f t="shared" si="5"/>
        <v>489700</v>
      </c>
      <c r="G21" s="165">
        <f t="shared" si="6"/>
        <v>71152.590236657983</v>
      </c>
      <c r="H21" s="147">
        <f t="shared" si="7"/>
        <v>71152.590236657983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2024</v>
      </c>
      <c r="D22" s="166">
        <f>IF(F21+SUM(E$17:E21)=D$10,F21,D$10-SUM(E$17:E21))</f>
        <v>489700</v>
      </c>
      <c r="E22" s="164">
        <f t="shared" si="4"/>
        <v>13925</v>
      </c>
      <c r="F22" s="163">
        <f t="shared" si="5"/>
        <v>475775</v>
      </c>
      <c r="G22" s="165">
        <f t="shared" si="6"/>
        <v>69548.091821646856</v>
      </c>
      <c r="H22" s="147">
        <f t="shared" si="7"/>
        <v>69548.091821646856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2025</v>
      </c>
      <c r="D23" s="166">
        <f>IF(F22+SUM(E$17:E22)=D$10,F22,D$10-SUM(E$17:E22))</f>
        <v>475775</v>
      </c>
      <c r="E23" s="164">
        <f t="shared" si="4"/>
        <v>13925</v>
      </c>
      <c r="F23" s="163">
        <f t="shared" si="5"/>
        <v>461850</v>
      </c>
      <c r="G23" s="165">
        <f t="shared" si="6"/>
        <v>67943.593406635744</v>
      </c>
      <c r="H23" s="147">
        <f t="shared" si="7"/>
        <v>67943.593406635744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2026</v>
      </c>
      <c r="D24" s="166">
        <f>IF(F23+SUM(E$17:E23)=D$10,F23,D$10-SUM(E$17:E23))</f>
        <v>461850</v>
      </c>
      <c r="E24" s="164">
        <f t="shared" si="4"/>
        <v>13925</v>
      </c>
      <c r="F24" s="163">
        <f t="shared" si="5"/>
        <v>447925</v>
      </c>
      <c r="G24" s="165">
        <f t="shared" si="6"/>
        <v>66339.094991624617</v>
      </c>
      <c r="H24" s="147">
        <f t="shared" si="7"/>
        <v>66339.094991624617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2027</v>
      </c>
      <c r="D25" s="166">
        <f>IF(F24+SUM(E$17:E24)=D$10,F24,D$10-SUM(E$17:E24))</f>
        <v>447925</v>
      </c>
      <c r="E25" s="164">
        <f t="shared" si="4"/>
        <v>13925</v>
      </c>
      <c r="F25" s="163">
        <f t="shared" si="5"/>
        <v>434000</v>
      </c>
      <c r="G25" s="165">
        <f t="shared" si="6"/>
        <v>64734.59657661349</v>
      </c>
      <c r="H25" s="147">
        <f t="shared" si="7"/>
        <v>64734.59657661349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2028</v>
      </c>
      <c r="D26" s="166">
        <f>IF(F25+SUM(E$17:E25)=D$10,F25,D$10-SUM(E$17:E25))</f>
        <v>434000</v>
      </c>
      <c r="E26" s="164">
        <f t="shared" si="4"/>
        <v>13925</v>
      </c>
      <c r="F26" s="163">
        <f t="shared" si="5"/>
        <v>420075</v>
      </c>
      <c r="G26" s="165">
        <f t="shared" si="6"/>
        <v>63130.098161602364</v>
      </c>
      <c r="H26" s="147">
        <f t="shared" si="7"/>
        <v>63130.098161602364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2029</v>
      </c>
      <c r="D27" s="166">
        <f>IF(F26+SUM(E$17:E26)=D$10,F26,D$10-SUM(E$17:E26))</f>
        <v>420075</v>
      </c>
      <c r="E27" s="164">
        <f t="shared" si="4"/>
        <v>13925</v>
      </c>
      <c r="F27" s="163">
        <f t="shared" si="5"/>
        <v>406150</v>
      </c>
      <c r="G27" s="165">
        <f t="shared" si="6"/>
        <v>61525.599746591237</v>
      </c>
      <c r="H27" s="147">
        <f t="shared" si="7"/>
        <v>61525.599746591237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2030</v>
      </c>
      <c r="D28" s="166">
        <f>IF(F27+SUM(E$17:E27)=D$10,F27,D$10-SUM(E$17:E27))</f>
        <v>406150</v>
      </c>
      <c r="E28" s="164">
        <f t="shared" si="4"/>
        <v>13925</v>
      </c>
      <c r="F28" s="163">
        <f t="shared" si="5"/>
        <v>392225</v>
      </c>
      <c r="G28" s="165">
        <f t="shared" si="6"/>
        <v>59921.101331580117</v>
      </c>
      <c r="H28" s="147">
        <f t="shared" si="7"/>
        <v>59921.101331580117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2031</v>
      </c>
      <c r="D29" s="166">
        <f>IF(F28+SUM(E$17:E28)=D$10,F28,D$10-SUM(E$17:E28))</f>
        <v>392225</v>
      </c>
      <c r="E29" s="164">
        <f t="shared" si="4"/>
        <v>13925</v>
      </c>
      <c r="F29" s="163">
        <f t="shared" si="5"/>
        <v>378300</v>
      </c>
      <c r="G29" s="165">
        <f t="shared" si="6"/>
        <v>58316.602916568991</v>
      </c>
      <c r="H29" s="147">
        <f t="shared" si="7"/>
        <v>58316.602916568991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2032</v>
      </c>
      <c r="D30" s="166">
        <f>IF(F29+SUM(E$17:E29)=D$10,F29,D$10-SUM(E$17:E29))</f>
        <v>378300</v>
      </c>
      <c r="E30" s="164">
        <f t="shared" si="4"/>
        <v>13925</v>
      </c>
      <c r="F30" s="163">
        <f t="shared" si="5"/>
        <v>364375</v>
      </c>
      <c r="G30" s="165">
        <f t="shared" si="6"/>
        <v>56712.104501557864</v>
      </c>
      <c r="H30" s="147">
        <f t="shared" si="7"/>
        <v>56712.104501557864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2033</v>
      </c>
      <c r="D31" s="166">
        <f>IF(F30+SUM(E$17:E30)=D$10,F30,D$10-SUM(E$17:E30))</f>
        <v>364375</v>
      </c>
      <c r="E31" s="164">
        <f t="shared" si="4"/>
        <v>13925</v>
      </c>
      <c r="F31" s="163">
        <f t="shared" si="5"/>
        <v>350450</v>
      </c>
      <c r="G31" s="165">
        <f t="shared" si="6"/>
        <v>55107.606086546744</v>
      </c>
      <c r="H31" s="147">
        <f t="shared" si="7"/>
        <v>55107.606086546744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2034</v>
      </c>
      <c r="D32" s="166">
        <f>IF(F31+SUM(E$17:E31)=D$10,F31,D$10-SUM(E$17:E31))</f>
        <v>350450</v>
      </c>
      <c r="E32" s="164">
        <f t="shared" si="4"/>
        <v>13925</v>
      </c>
      <c r="F32" s="163">
        <f t="shared" si="5"/>
        <v>336525</v>
      </c>
      <c r="G32" s="165">
        <f t="shared" si="6"/>
        <v>53503.107671535618</v>
      </c>
      <c r="H32" s="147">
        <f t="shared" si="7"/>
        <v>53503.107671535618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2035</v>
      </c>
      <c r="D33" s="166">
        <f>IF(F32+SUM(E$17:E32)=D$10,F32,D$10-SUM(E$17:E32))</f>
        <v>336525</v>
      </c>
      <c r="E33" s="164">
        <f t="shared" si="4"/>
        <v>13925</v>
      </c>
      <c r="F33" s="163">
        <f t="shared" si="5"/>
        <v>322600</v>
      </c>
      <c r="G33" s="165">
        <f t="shared" si="6"/>
        <v>51898.609256524491</v>
      </c>
      <c r="H33" s="147">
        <f t="shared" si="7"/>
        <v>51898.609256524491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2036</v>
      </c>
      <c r="D34" s="166">
        <f>IF(F33+SUM(E$17:E33)=D$10,F33,D$10-SUM(E$17:E33))</f>
        <v>322600</v>
      </c>
      <c r="E34" s="164">
        <f t="shared" si="4"/>
        <v>13925</v>
      </c>
      <c r="F34" s="163">
        <f t="shared" si="5"/>
        <v>308675</v>
      </c>
      <c r="G34" s="165">
        <f t="shared" si="6"/>
        <v>50294.110841513371</v>
      </c>
      <c r="H34" s="147">
        <f t="shared" si="7"/>
        <v>50294.110841513371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2037</v>
      </c>
      <c r="D35" s="166">
        <f>IF(F34+SUM(E$17:E34)=D$10,F34,D$10-SUM(E$17:E34))</f>
        <v>308675</v>
      </c>
      <c r="E35" s="164">
        <f t="shared" si="4"/>
        <v>13925</v>
      </c>
      <c r="F35" s="163">
        <f t="shared" si="5"/>
        <v>294750</v>
      </c>
      <c r="G35" s="165">
        <f t="shared" si="6"/>
        <v>48689.612426502244</v>
      </c>
      <c r="H35" s="147">
        <f t="shared" si="7"/>
        <v>48689.612426502244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2038</v>
      </c>
      <c r="D36" s="166">
        <f>IF(F35+SUM(E$17:E35)=D$10,F35,D$10-SUM(E$17:E35))</f>
        <v>294750</v>
      </c>
      <c r="E36" s="164">
        <f t="shared" si="4"/>
        <v>13925</v>
      </c>
      <c r="F36" s="163">
        <f t="shared" si="5"/>
        <v>280825</v>
      </c>
      <c r="G36" s="165">
        <f t="shared" si="6"/>
        <v>47085.114011491125</v>
      </c>
      <c r="H36" s="147">
        <f t="shared" si="7"/>
        <v>47085.114011491125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2039</v>
      </c>
      <c r="D37" s="166">
        <f>IF(F36+SUM(E$17:E36)=D$10,F36,D$10-SUM(E$17:E36))</f>
        <v>280825</v>
      </c>
      <c r="E37" s="164">
        <f t="shared" si="4"/>
        <v>13925</v>
      </c>
      <c r="F37" s="163">
        <f t="shared" si="5"/>
        <v>266900</v>
      </c>
      <c r="G37" s="165">
        <f t="shared" si="6"/>
        <v>45480.615596479998</v>
      </c>
      <c r="H37" s="147">
        <f t="shared" si="7"/>
        <v>45480.615596479998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2040</v>
      </c>
      <c r="D38" s="166">
        <f>IF(F37+SUM(E$17:E37)=D$10,F37,D$10-SUM(E$17:E37))</f>
        <v>266900</v>
      </c>
      <c r="E38" s="164">
        <f t="shared" si="4"/>
        <v>13925</v>
      </c>
      <c r="F38" s="163">
        <f t="shared" si="5"/>
        <v>252975</v>
      </c>
      <c r="G38" s="165">
        <f t="shared" si="6"/>
        <v>43876.117181468871</v>
      </c>
      <c r="H38" s="147">
        <f t="shared" si="7"/>
        <v>43876.117181468871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2041</v>
      </c>
      <c r="D39" s="166">
        <f>IF(F38+SUM(E$17:E38)=D$10,F38,D$10-SUM(E$17:E38))</f>
        <v>252975</v>
      </c>
      <c r="E39" s="164">
        <f t="shared" si="4"/>
        <v>13925</v>
      </c>
      <c r="F39" s="163">
        <f t="shared" si="5"/>
        <v>239050</v>
      </c>
      <c r="G39" s="165">
        <f t="shared" si="6"/>
        <v>42271.618766457745</v>
      </c>
      <c r="H39" s="147">
        <f t="shared" si="7"/>
        <v>42271.618766457745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2042</v>
      </c>
      <c r="D40" s="166">
        <f>IF(F39+SUM(E$17:E39)=D$10,F39,D$10-SUM(E$17:E39))</f>
        <v>239050</v>
      </c>
      <c r="E40" s="164">
        <f t="shared" si="4"/>
        <v>13925</v>
      </c>
      <c r="F40" s="163">
        <f t="shared" si="5"/>
        <v>225125</v>
      </c>
      <c r="G40" s="165">
        <f t="shared" si="6"/>
        <v>40667.120351446625</v>
      </c>
      <c r="H40" s="147">
        <f t="shared" si="7"/>
        <v>40667.120351446625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2043</v>
      </c>
      <c r="D41" s="166">
        <f>IF(F40+SUM(E$17:E40)=D$10,F40,D$10-SUM(E$17:E40))</f>
        <v>225125</v>
      </c>
      <c r="E41" s="164">
        <f t="shared" si="4"/>
        <v>13925</v>
      </c>
      <c r="F41" s="163">
        <f t="shared" si="5"/>
        <v>211200</v>
      </c>
      <c r="G41" s="165">
        <f t="shared" si="6"/>
        <v>39062.621936435506</v>
      </c>
      <c r="H41" s="147">
        <f t="shared" si="7"/>
        <v>39062.621936435506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2044</v>
      </c>
      <c r="D42" s="166">
        <f>IF(F41+SUM(E$17:E41)=D$10,F41,D$10-SUM(E$17:E41))</f>
        <v>211200</v>
      </c>
      <c r="E42" s="164">
        <f t="shared" si="4"/>
        <v>13925</v>
      </c>
      <c r="F42" s="163">
        <f t="shared" si="5"/>
        <v>197275</v>
      </c>
      <c r="G42" s="165">
        <f t="shared" si="6"/>
        <v>37458.123521424379</v>
      </c>
      <c r="H42" s="147">
        <f t="shared" si="7"/>
        <v>37458.123521424379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2045</v>
      </c>
      <c r="D43" s="166">
        <f>IF(F42+SUM(E$17:E42)=D$10,F42,D$10-SUM(E$17:E42))</f>
        <v>197275</v>
      </c>
      <c r="E43" s="164">
        <f t="shared" si="4"/>
        <v>13925</v>
      </c>
      <c r="F43" s="163">
        <f t="shared" si="5"/>
        <v>183350</v>
      </c>
      <c r="G43" s="165">
        <f t="shared" si="6"/>
        <v>35853.625106413252</v>
      </c>
      <c r="H43" s="147">
        <f t="shared" si="7"/>
        <v>35853.625106413252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2046</v>
      </c>
      <c r="D44" s="166">
        <f>IF(F43+SUM(E$17:E43)=D$10,F43,D$10-SUM(E$17:E43))</f>
        <v>183350</v>
      </c>
      <c r="E44" s="164">
        <f t="shared" si="4"/>
        <v>13925</v>
      </c>
      <c r="F44" s="163">
        <f t="shared" si="5"/>
        <v>169425</v>
      </c>
      <c r="G44" s="165">
        <f t="shared" si="6"/>
        <v>34249.126691402125</v>
      </c>
      <c r="H44" s="147">
        <f t="shared" si="7"/>
        <v>34249.126691402125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2047</v>
      </c>
      <c r="D45" s="166">
        <f>IF(F44+SUM(E$17:E44)=D$10,F44,D$10-SUM(E$17:E44))</f>
        <v>169425</v>
      </c>
      <c r="E45" s="164">
        <f t="shared" si="4"/>
        <v>13925</v>
      </c>
      <c r="F45" s="163">
        <f t="shared" si="5"/>
        <v>155500</v>
      </c>
      <c r="G45" s="165">
        <f t="shared" si="6"/>
        <v>32644.628276391006</v>
      </c>
      <c r="H45" s="147">
        <f t="shared" si="7"/>
        <v>32644.628276391006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2048</v>
      </c>
      <c r="D46" s="166">
        <f>IF(F45+SUM(E$17:E45)=D$10,F45,D$10-SUM(E$17:E45))</f>
        <v>155500</v>
      </c>
      <c r="E46" s="164">
        <f t="shared" si="4"/>
        <v>13925</v>
      </c>
      <c r="F46" s="163">
        <f t="shared" si="5"/>
        <v>141575</v>
      </c>
      <c r="G46" s="165">
        <f t="shared" si="6"/>
        <v>31040.129861379883</v>
      </c>
      <c r="H46" s="147">
        <f t="shared" si="7"/>
        <v>31040.129861379883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2049</v>
      </c>
      <c r="D47" s="166">
        <f>IF(F46+SUM(E$17:E46)=D$10,F46,D$10-SUM(E$17:E46))</f>
        <v>141575</v>
      </c>
      <c r="E47" s="164">
        <f t="shared" si="4"/>
        <v>13925</v>
      </c>
      <c r="F47" s="163">
        <f t="shared" si="5"/>
        <v>127650</v>
      </c>
      <c r="G47" s="165">
        <f t="shared" si="6"/>
        <v>29435.631446368759</v>
      </c>
      <c r="H47" s="147">
        <f t="shared" si="7"/>
        <v>29435.631446368759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2050</v>
      </c>
      <c r="D48" s="166">
        <f>IF(F47+SUM(E$17:E47)=D$10,F47,D$10-SUM(E$17:E47))</f>
        <v>127650</v>
      </c>
      <c r="E48" s="164">
        <f t="shared" si="4"/>
        <v>13925</v>
      </c>
      <c r="F48" s="163">
        <f t="shared" si="5"/>
        <v>113725</v>
      </c>
      <c r="G48" s="165">
        <f t="shared" si="6"/>
        <v>27831.133031357633</v>
      </c>
      <c r="H48" s="147">
        <f t="shared" si="7"/>
        <v>27831.133031357633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2051</v>
      </c>
      <c r="D49" s="166">
        <f>IF(F48+SUM(E$17:E48)=D$10,F48,D$10-SUM(E$17:E48))</f>
        <v>113725</v>
      </c>
      <c r="E49" s="164">
        <f t="shared" si="4"/>
        <v>13925</v>
      </c>
      <c r="F49" s="163">
        <f t="shared" si="5"/>
        <v>99800</v>
      </c>
      <c r="G49" s="165">
        <f t="shared" si="6"/>
        <v>26226.63461634651</v>
      </c>
      <c r="H49" s="147">
        <f t="shared" si="7"/>
        <v>26226.63461634651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2052</v>
      </c>
      <c r="D50" s="166">
        <f>IF(F49+SUM(E$17:E49)=D$10,F49,D$10-SUM(E$17:E49))</f>
        <v>99800</v>
      </c>
      <c r="E50" s="164">
        <f t="shared" si="4"/>
        <v>13925</v>
      </c>
      <c r="F50" s="163">
        <f t="shared" si="5"/>
        <v>85875</v>
      </c>
      <c r="G50" s="165">
        <f t="shared" si="6"/>
        <v>24622.136201335386</v>
      </c>
      <c r="H50" s="147">
        <f t="shared" si="7"/>
        <v>24622.136201335386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2053</v>
      </c>
      <c r="D51" s="166">
        <f>IF(F50+SUM(E$17:E50)=D$10,F50,D$10-SUM(E$17:E50))</f>
        <v>85875</v>
      </c>
      <c r="E51" s="164">
        <f t="shared" si="4"/>
        <v>13925</v>
      </c>
      <c r="F51" s="163">
        <f t="shared" si="5"/>
        <v>71950</v>
      </c>
      <c r="G51" s="165">
        <f t="shared" si="6"/>
        <v>23017.63778632426</v>
      </c>
      <c r="H51" s="147">
        <f t="shared" si="7"/>
        <v>23017.63778632426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2054</v>
      </c>
      <c r="D52" s="166">
        <f>IF(F51+SUM(E$17:E51)=D$10,F51,D$10-SUM(E$17:E51))</f>
        <v>71950</v>
      </c>
      <c r="E52" s="164">
        <f t="shared" si="4"/>
        <v>13925</v>
      </c>
      <c r="F52" s="163">
        <f t="shared" si="5"/>
        <v>58025</v>
      </c>
      <c r="G52" s="165">
        <f t="shared" si="6"/>
        <v>21413.139371313137</v>
      </c>
      <c r="H52" s="147">
        <f t="shared" si="7"/>
        <v>21413.139371313137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2055</v>
      </c>
      <c r="D53" s="166">
        <f>IF(F52+SUM(E$17:E52)=D$10,F52,D$10-SUM(E$17:E52))</f>
        <v>58025</v>
      </c>
      <c r="E53" s="164">
        <f t="shared" si="4"/>
        <v>13925</v>
      </c>
      <c r="F53" s="163">
        <f t="shared" si="5"/>
        <v>44100</v>
      </c>
      <c r="G53" s="165">
        <f t="shared" si="6"/>
        <v>19808.640956302013</v>
      </c>
      <c r="H53" s="147">
        <f t="shared" si="7"/>
        <v>19808.640956302013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2056</v>
      </c>
      <c r="D54" s="166">
        <f>IF(F53+SUM(E$17:E53)=D$10,F53,D$10-SUM(E$17:E53))</f>
        <v>44100</v>
      </c>
      <c r="E54" s="164">
        <f t="shared" si="4"/>
        <v>13925</v>
      </c>
      <c r="F54" s="163">
        <f t="shared" si="5"/>
        <v>30175</v>
      </c>
      <c r="G54" s="165">
        <f t="shared" si="6"/>
        <v>18204.142541290887</v>
      </c>
      <c r="H54" s="147">
        <f t="shared" si="7"/>
        <v>18204.142541290887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2057</v>
      </c>
      <c r="D55" s="166">
        <f>IF(F54+SUM(E$17:E54)=D$10,F54,D$10-SUM(E$17:E54))</f>
        <v>30175</v>
      </c>
      <c r="E55" s="164">
        <f t="shared" si="4"/>
        <v>13925</v>
      </c>
      <c r="F55" s="163">
        <f t="shared" si="5"/>
        <v>16250</v>
      </c>
      <c r="G55" s="165">
        <f t="shared" si="6"/>
        <v>16599.644126279763</v>
      </c>
      <c r="H55" s="147">
        <f t="shared" si="7"/>
        <v>16599.644126279763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2058</v>
      </c>
      <c r="D56" s="166">
        <f>IF(F55+SUM(E$17:E55)=D$10,F55,D$10-SUM(E$17:E55))</f>
        <v>16250</v>
      </c>
      <c r="E56" s="164">
        <f t="shared" si="4"/>
        <v>13925</v>
      </c>
      <c r="F56" s="163">
        <f t="shared" si="5"/>
        <v>2325</v>
      </c>
      <c r="G56" s="165">
        <f t="shared" si="6"/>
        <v>14995.14571126864</v>
      </c>
      <c r="H56" s="147">
        <f t="shared" si="7"/>
        <v>14995.14571126864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2059</v>
      </c>
      <c r="D57" s="166">
        <f>IF(F56+SUM(E$17:E56)=D$10,F56,D$10-SUM(E$17:E56))</f>
        <v>2325</v>
      </c>
      <c r="E57" s="164">
        <f t="shared" si="4"/>
        <v>2325</v>
      </c>
      <c r="F57" s="163">
        <f t="shared" si="5"/>
        <v>0</v>
      </c>
      <c r="G57" s="165">
        <f t="shared" si="6"/>
        <v>2458.9482518815389</v>
      </c>
      <c r="H57" s="147">
        <f t="shared" si="7"/>
        <v>2458.9482518815389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2060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2061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2062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2063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2064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2065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2066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2067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2068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2069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2070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2071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2072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2073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2074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557000</v>
      </c>
      <c r="F73" s="115"/>
      <c r="G73" s="115">
        <f>SUM(G17:G72)</f>
        <v>1849622.521707953</v>
      </c>
      <c r="H73" s="115">
        <f>SUM(H17:H72)</f>
        <v>1849622.521707953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24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Fort Townson-Valliant Line Rebuild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 t="str">
        <f>IF(D11=I10,"",D11)</f>
        <v/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 t="str">
        <f>IF(D11=I10,"",D12)</f>
        <v/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 t="str">
        <f>IF(D93= "","-",D93)</f>
        <v>-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 t="shared" ref="H99:H154" si="9">+J$94*G99+E99</f>
        <v>0</v>
      </c>
      <c r="I99" s="218">
        <f>+J$95*G99+E99</f>
        <v>0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 t="str">
        <f>IF(D93="","-",+C99+1)</f>
        <v>-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33">
        <f t="shared" si="9"/>
        <v>0</v>
      </c>
      <c r="I100" s="344">
        <f t="shared" ref="I100:I154" si="14">+J$95*G100+E100</f>
        <v>0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 t="str">
        <f>IF(D93="","-",+C100+1)</f>
        <v>-</v>
      </c>
      <c r="D101" s="158">
        <f>IF(F100+SUM(E$99:E100)=D$92,F100,D$92-SUM(E$99:E100))</f>
        <v>0</v>
      </c>
      <c r="E101" s="164">
        <f t="shared" ref="E101:E154" si="16">IF(+J$96&lt;F100,J$96,D101)</f>
        <v>0</v>
      </c>
      <c r="F101" s="163">
        <f t="shared" ref="F101:F154" si="17">+D101-E101</f>
        <v>0</v>
      </c>
      <c r="G101" s="163">
        <f t="shared" ref="G101:G154" si="18">+(F101+D101)/2</f>
        <v>0</v>
      </c>
      <c r="H101" s="333">
        <f t="shared" si="9"/>
        <v>0</v>
      </c>
      <c r="I101" s="344">
        <f t="shared" si="14"/>
        <v>0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 t="str">
        <f>IF(D93="","-",+C101+1)</f>
        <v>-</v>
      </c>
      <c r="D102" s="158">
        <f>IF(F101+SUM(E$99:E101)=D$92,F101,D$92-SUM(E$99:E101))</f>
        <v>0</v>
      </c>
      <c r="E102" s="164">
        <f t="shared" si="16"/>
        <v>0</v>
      </c>
      <c r="F102" s="163">
        <f t="shared" si="17"/>
        <v>0</v>
      </c>
      <c r="G102" s="163">
        <f t="shared" si="18"/>
        <v>0</v>
      </c>
      <c r="H102" s="333">
        <f t="shared" si="9"/>
        <v>0</v>
      </c>
      <c r="I102" s="344">
        <f t="shared" si="14"/>
        <v>0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 t="str">
        <f>IF(D93="","-",+C102+1)</f>
        <v>-</v>
      </c>
      <c r="D103" s="158">
        <f>IF(F102+SUM(E$99:E102)=D$92,F102,D$92-SUM(E$99:E102))</f>
        <v>0</v>
      </c>
      <c r="E103" s="164">
        <f t="shared" si="16"/>
        <v>0</v>
      </c>
      <c r="F103" s="163">
        <f t="shared" si="17"/>
        <v>0</v>
      </c>
      <c r="G103" s="163">
        <f t="shared" si="18"/>
        <v>0</v>
      </c>
      <c r="H103" s="333">
        <f t="shared" si="9"/>
        <v>0</v>
      </c>
      <c r="I103" s="344">
        <f t="shared" si="14"/>
        <v>0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 t="str">
        <f>IF(D93="","-",+C103+1)</f>
        <v>-</v>
      </c>
      <c r="D104" s="158">
        <f>IF(F103+SUM(E$99:E103)=D$92,F103,D$92-SUM(E$99:E103))</f>
        <v>0</v>
      </c>
      <c r="E104" s="164">
        <f t="shared" si="16"/>
        <v>0</v>
      </c>
      <c r="F104" s="163">
        <f t="shared" si="17"/>
        <v>0</v>
      </c>
      <c r="G104" s="163">
        <f t="shared" si="18"/>
        <v>0</v>
      </c>
      <c r="H104" s="333">
        <f t="shared" si="9"/>
        <v>0</v>
      </c>
      <c r="I104" s="344">
        <f t="shared" si="14"/>
        <v>0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 t="str">
        <f>IF(D93="","-",+C104+1)</f>
        <v>-</v>
      </c>
      <c r="D105" s="158">
        <f>IF(F104+SUM(E$99:E104)=D$92,F104,D$92-SUM(E$99:E104))</f>
        <v>0</v>
      </c>
      <c r="E105" s="164">
        <f t="shared" si="16"/>
        <v>0</v>
      </c>
      <c r="F105" s="163">
        <f t="shared" si="17"/>
        <v>0</v>
      </c>
      <c r="G105" s="163">
        <f t="shared" si="18"/>
        <v>0</v>
      </c>
      <c r="H105" s="333">
        <f t="shared" si="9"/>
        <v>0</v>
      </c>
      <c r="I105" s="344">
        <f t="shared" si="14"/>
        <v>0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 t="str">
        <f>IF(D93="","-",+C105+1)</f>
        <v>-</v>
      </c>
      <c r="D106" s="158">
        <f>IF(F105+SUM(E$99:E105)=D$92,F105,D$92-SUM(E$99:E105))</f>
        <v>0</v>
      </c>
      <c r="E106" s="164">
        <f t="shared" si="16"/>
        <v>0</v>
      </c>
      <c r="F106" s="163">
        <f t="shared" si="17"/>
        <v>0</v>
      </c>
      <c r="G106" s="163">
        <f t="shared" si="18"/>
        <v>0</v>
      </c>
      <c r="H106" s="333">
        <f t="shared" si="9"/>
        <v>0</v>
      </c>
      <c r="I106" s="344">
        <f t="shared" si="14"/>
        <v>0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 t="str">
        <f>IF(D93="","-",+C106+1)</f>
        <v>-</v>
      </c>
      <c r="D107" s="158">
        <f>IF(F106+SUM(E$99:E106)=D$92,F106,D$92-SUM(E$99:E106))</f>
        <v>0</v>
      </c>
      <c r="E107" s="164">
        <f t="shared" si="16"/>
        <v>0</v>
      </c>
      <c r="F107" s="163">
        <f t="shared" si="17"/>
        <v>0</v>
      </c>
      <c r="G107" s="163">
        <f t="shared" si="18"/>
        <v>0</v>
      </c>
      <c r="H107" s="333">
        <f t="shared" si="9"/>
        <v>0</v>
      </c>
      <c r="I107" s="344">
        <f t="shared" si="14"/>
        <v>0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 t="str">
        <f>IF(D93="","-",+C107+1)</f>
        <v>-</v>
      </c>
      <c r="D108" s="158">
        <f>IF(F107+SUM(E$99:E107)=D$92,F107,D$92-SUM(E$99:E107))</f>
        <v>0</v>
      </c>
      <c r="E108" s="164">
        <f t="shared" si="16"/>
        <v>0</v>
      </c>
      <c r="F108" s="163">
        <f t="shared" si="17"/>
        <v>0</v>
      </c>
      <c r="G108" s="163">
        <f t="shared" si="18"/>
        <v>0</v>
      </c>
      <c r="H108" s="333">
        <f t="shared" si="9"/>
        <v>0</v>
      </c>
      <c r="I108" s="344">
        <f t="shared" si="14"/>
        <v>0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 t="str">
        <f>IF(D93="","-",+C108+1)</f>
        <v>-</v>
      </c>
      <c r="D109" s="158">
        <f>IF(F108+SUM(E$99:E108)=D$92,F108,D$92-SUM(E$99:E108))</f>
        <v>0</v>
      </c>
      <c r="E109" s="164">
        <f t="shared" si="16"/>
        <v>0</v>
      </c>
      <c r="F109" s="163">
        <f t="shared" si="17"/>
        <v>0</v>
      </c>
      <c r="G109" s="163">
        <f t="shared" si="18"/>
        <v>0</v>
      </c>
      <c r="H109" s="333">
        <f t="shared" si="9"/>
        <v>0</v>
      </c>
      <c r="I109" s="344">
        <f t="shared" si="14"/>
        <v>0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 t="str">
        <f>IF(D93="","-",+C109+1)</f>
        <v>-</v>
      </c>
      <c r="D110" s="158">
        <f>IF(F109+SUM(E$99:E109)=D$92,F109,D$92-SUM(E$99:E109))</f>
        <v>0</v>
      </c>
      <c r="E110" s="164">
        <f t="shared" si="16"/>
        <v>0</v>
      </c>
      <c r="F110" s="163">
        <f t="shared" si="17"/>
        <v>0</v>
      </c>
      <c r="G110" s="163">
        <f t="shared" si="18"/>
        <v>0</v>
      </c>
      <c r="H110" s="333">
        <f t="shared" si="9"/>
        <v>0</v>
      </c>
      <c r="I110" s="344">
        <f t="shared" si="14"/>
        <v>0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 t="str">
        <f>IF(D93="","-",+C110+1)</f>
        <v>-</v>
      </c>
      <c r="D111" s="158">
        <f>IF(F110+SUM(E$99:E110)=D$92,F110,D$92-SUM(E$99:E110))</f>
        <v>0</v>
      </c>
      <c r="E111" s="164">
        <f t="shared" si="16"/>
        <v>0</v>
      </c>
      <c r="F111" s="163">
        <f t="shared" si="17"/>
        <v>0</v>
      </c>
      <c r="G111" s="163">
        <f t="shared" si="18"/>
        <v>0</v>
      </c>
      <c r="H111" s="333">
        <f t="shared" si="9"/>
        <v>0</v>
      </c>
      <c r="I111" s="344">
        <f t="shared" si="14"/>
        <v>0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 t="str">
        <f>IF(D93="","-",+C111+1)</f>
        <v>-</v>
      </c>
      <c r="D112" s="158">
        <f>IF(F111+SUM(E$99:E111)=D$92,F111,D$92-SUM(E$99:E111))</f>
        <v>0</v>
      </c>
      <c r="E112" s="164">
        <f t="shared" si="16"/>
        <v>0</v>
      </c>
      <c r="F112" s="163">
        <f t="shared" si="17"/>
        <v>0</v>
      </c>
      <c r="G112" s="163">
        <f t="shared" si="18"/>
        <v>0</v>
      </c>
      <c r="H112" s="333">
        <f t="shared" si="9"/>
        <v>0</v>
      </c>
      <c r="I112" s="344">
        <f t="shared" si="14"/>
        <v>0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 t="str">
        <f>IF(D93="","-",+C112+1)</f>
        <v>-</v>
      </c>
      <c r="D113" s="158">
        <f>IF(F112+SUM(E$99:E112)=D$92,F112,D$92-SUM(E$99:E112))</f>
        <v>0</v>
      </c>
      <c r="E113" s="164">
        <f t="shared" si="16"/>
        <v>0</v>
      </c>
      <c r="F113" s="163">
        <f t="shared" si="17"/>
        <v>0</v>
      </c>
      <c r="G113" s="163">
        <f t="shared" si="18"/>
        <v>0</v>
      </c>
      <c r="H113" s="333">
        <f t="shared" si="9"/>
        <v>0</v>
      </c>
      <c r="I113" s="344">
        <f t="shared" si="14"/>
        <v>0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 t="str">
        <f>IF(D93="","-",+C113+1)</f>
        <v>-</v>
      </c>
      <c r="D114" s="158">
        <f>IF(F113+SUM(E$99:E113)=D$92,F113,D$92-SUM(E$99:E113))</f>
        <v>0</v>
      </c>
      <c r="E114" s="164">
        <f t="shared" si="16"/>
        <v>0</v>
      </c>
      <c r="F114" s="163">
        <f t="shared" si="17"/>
        <v>0</v>
      </c>
      <c r="G114" s="163">
        <f t="shared" si="18"/>
        <v>0</v>
      </c>
      <c r="H114" s="333">
        <f t="shared" si="9"/>
        <v>0</v>
      </c>
      <c r="I114" s="344">
        <f t="shared" si="14"/>
        <v>0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 t="str">
        <f>IF(D93="","-",+C114+1)</f>
        <v>-</v>
      </c>
      <c r="D115" s="158">
        <f>IF(F114+SUM(E$99:E114)=D$92,F114,D$92-SUM(E$99:E114))</f>
        <v>0</v>
      </c>
      <c r="E115" s="164">
        <f t="shared" si="16"/>
        <v>0</v>
      </c>
      <c r="F115" s="163">
        <f t="shared" si="17"/>
        <v>0</v>
      </c>
      <c r="G115" s="163">
        <f t="shared" si="18"/>
        <v>0</v>
      </c>
      <c r="H115" s="333">
        <f t="shared" si="9"/>
        <v>0</v>
      </c>
      <c r="I115" s="344">
        <f t="shared" si="14"/>
        <v>0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 t="str">
        <f>IF(D93="","-",+C115+1)</f>
        <v>-</v>
      </c>
      <c r="D116" s="158">
        <f>IF(F115+SUM(E$99:E115)=D$92,F115,D$92-SUM(E$99:E115))</f>
        <v>0</v>
      </c>
      <c r="E116" s="164">
        <f t="shared" si="16"/>
        <v>0</v>
      </c>
      <c r="F116" s="163">
        <f t="shared" si="17"/>
        <v>0</v>
      </c>
      <c r="G116" s="163">
        <f t="shared" si="18"/>
        <v>0</v>
      </c>
      <c r="H116" s="333">
        <f t="shared" si="9"/>
        <v>0</v>
      </c>
      <c r="I116" s="344">
        <f t="shared" si="14"/>
        <v>0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 t="str">
        <f>IF(D93="","-",+C116+1)</f>
        <v>-</v>
      </c>
      <c r="D117" s="158">
        <f>IF(F116+SUM(E$99:E116)=D$92,F116,D$92-SUM(E$99:E116))</f>
        <v>0</v>
      </c>
      <c r="E117" s="164">
        <f t="shared" si="16"/>
        <v>0</v>
      </c>
      <c r="F117" s="163">
        <f t="shared" si="17"/>
        <v>0</v>
      </c>
      <c r="G117" s="163">
        <f t="shared" si="18"/>
        <v>0</v>
      </c>
      <c r="H117" s="333">
        <f t="shared" si="9"/>
        <v>0</v>
      </c>
      <c r="I117" s="344">
        <f t="shared" si="14"/>
        <v>0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 t="str">
        <f>IF(D93="","-",+C117+1)</f>
        <v>-</v>
      </c>
      <c r="D118" s="158">
        <f>IF(F117+SUM(E$99:E117)=D$92,F117,D$92-SUM(E$99:E117))</f>
        <v>0</v>
      </c>
      <c r="E118" s="164">
        <f t="shared" si="16"/>
        <v>0</v>
      </c>
      <c r="F118" s="163">
        <f t="shared" si="17"/>
        <v>0</v>
      </c>
      <c r="G118" s="163">
        <f t="shared" si="18"/>
        <v>0</v>
      </c>
      <c r="H118" s="333">
        <f t="shared" si="9"/>
        <v>0</v>
      </c>
      <c r="I118" s="344">
        <f t="shared" si="14"/>
        <v>0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 t="str">
        <f>IF(D93="","-",+C118+1)</f>
        <v>-</v>
      </c>
      <c r="D119" s="158">
        <f>IF(F118+SUM(E$99:E118)=D$92,F118,D$92-SUM(E$99:E118))</f>
        <v>0</v>
      </c>
      <c r="E119" s="164">
        <f t="shared" si="16"/>
        <v>0</v>
      </c>
      <c r="F119" s="163">
        <f t="shared" si="17"/>
        <v>0</v>
      </c>
      <c r="G119" s="163">
        <f t="shared" si="18"/>
        <v>0</v>
      </c>
      <c r="H119" s="333">
        <f t="shared" si="9"/>
        <v>0</v>
      </c>
      <c r="I119" s="344">
        <f t="shared" si="14"/>
        <v>0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 t="str">
        <f>IF(D93="","-",+C119+1)</f>
        <v>-</v>
      </c>
      <c r="D120" s="158">
        <f>IF(F119+SUM(E$99:E119)=D$92,F119,D$92-SUM(E$99:E119))</f>
        <v>0</v>
      </c>
      <c r="E120" s="164">
        <f t="shared" si="16"/>
        <v>0</v>
      </c>
      <c r="F120" s="163">
        <f t="shared" si="17"/>
        <v>0</v>
      </c>
      <c r="G120" s="163">
        <f t="shared" si="18"/>
        <v>0</v>
      </c>
      <c r="H120" s="333">
        <f t="shared" si="9"/>
        <v>0</v>
      </c>
      <c r="I120" s="344">
        <f t="shared" si="14"/>
        <v>0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 t="str">
        <f>IF(D93="","-",+C120+1)</f>
        <v>-</v>
      </c>
      <c r="D121" s="158">
        <f>IF(F120+SUM(E$99:E120)=D$92,F120,D$92-SUM(E$99:E120))</f>
        <v>0</v>
      </c>
      <c r="E121" s="164">
        <f t="shared" si="16"/>
        <v>0</v>
      </c>
      <c r="F121" s="163">
        <f t="shared" si="17"/>
        <v>0</v>
      </c>
      <c r="G121" s="163">
        <f t="shared" si="18"/>
        <v>0</v>
      </c>
      <c r="H121" s="333">
        <f t="shared" si="9"/>
        <v>0</v>
      </c>
      <c r="I121" s="344">
        <f t="shared" si="14"/>
        <v>0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 t="str">
        <f>IF(D93="","-",+C121+1)</f>
        <v>-</v>
      </c>
      <c r="D122" s="158">
        <f>IF(F121+SUM(E$99:E121)=D$92,F121,D$92-SUM(E$99:E121))</f>
        <v>0</v>
      </c>
      <c r="E122" s="164">
        <f t="shared" si="16"/>
        <v>0</v>
      </c>
      <c r="F122" s="163">
        <f t="shared" si="17"/>
        <v>0</v>
      </c>
      <c r="G122" s="163">
        <f t="shared" si="18"/>
        <v>0</v>
      </c>
      <c r="H122" s="333">
        <f t="shared" si="9"/>
        <v>0</v>
      </c>
      <c r="I122" s="344">
        <f t="shared" si="14"/>
        <v>0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 t="str">
        <f>IF(D93="","-",+C122+1)</f>
        <v>-</v>
      </c>
      <c r="D123" s="158">
        <f>IF(F122+SUM(E$99:E122)=D$92,F122,D$92-SUM(E$99:E122))</f>
        <v>0</v>
      </c>
      <c r="E123" s="164">
        <f t="shared" si="16"/>
        <v>0</v>
      </c>
      <c r="F123" s="163">
        <f t="shared" si="17"/>
        <v>0</v>
      </c>
      <c r="G123" s="163">
        <f t="shared" si="18"/>
        <v>0</v>
      </c>
      <c r="H123" s="333">
        <f t="shared" si="9"/>
        <v>0</v>
      </c>
      <c r="I123" s="344">
        <f t="shared" si="14"/>
        <v>0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 t="str">
        <f>IF(D93="","-",+C123+1)</f>
        <v>-</v>
      </c>
      <c r="D124" s="158">
        <f>IF(F123+SUM(E$99:E123)=D$92,F123,D$92-SUM(E$99:E123))</f>
        <v>0</v>
      </c>
      <c r="E124" s="164">
        <f t="shared" si="16"/>
        <v>0</v>
      </c>
      <c r="F124" s="163">
        <f t="shared" si="17"/>
        <v>0</v>
      </c>
      <c r="G124" s="163">
        <f t="shared" si="18"/>
        <v>0</v>
      </c>
      <c r="H124" s="333">
        <f t="shared" si="9"/>
        <v>0</v>
      </c>
      <c r="I124" s="344">
        <f t="shared" si="14"/>
        <v>0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 t="str">
        <f>IF(D93="","-",+C124+1)</f>
        <v>-</v>
      </c>
      <c r="D125" s="158">
        <f>IF(F124+SUM(E$99:E124)=D$92,F124,D$92-SUM(E$99:E124))</f>
        <v>0</v>
      </c>
      <c r="E125" s="164">
        <f t="shared" si="16"/>
        <v>0</v>
      </c>
      <c r="F125" s="163">
        <f t="shared" si="17"/>
        <v>0</v>
      </c>
      <c r="G125" s="163">
        <f t="shared" si="18"/>
        <v>0</v>
      </c>
      <c r="H125" s="333">
        <f t="shared" si="9"/>
        <v>0</v>
      </c>
      <c r="I125" s="344">
        <f t="shared" si="14"/>
        <v>0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 t="str">
        <f>IF(D93="","-",+C125+1)</f>
        <v>-</v>
      </c>
      <c r="D126" s="158">
        <f>IF(F125+SUM(E$99:E125)=D$92,F125,D$92-SUM(E$99:E125))</f>
        <v>0</v>
      </c>
      <c r="E126" s="164">
        <f t="shared" si="16"/>
        <v>0</v>
      </c>
      <c r="F126" s="163">
        <f t="shared" si="17"/>
        <v>0</v>
      </c>
      <c r="G126" s="163">
        <f t="shared" si="18"/>
        <v>0</v>
      </c>
      <c r="H126" s="333">
        <f t="shared" si="9"/>
        <v>0</v>
      </c>
      <c r="I126" s="344">
        <f t="shared" si="14"/>
        <v>0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 t="str">
        <f>IF(D93="","-",+C126+1)</f>
        <v>-</v>
      </c>
      <c r="D127" s="158">
        <f>IF(F126+SUM(E$99:E126)=D$92,F126,D$92-SUM(E$99:E126))</f>
        <v>0</v>
      </c>
      <c r="E127" s="164">
        <f t="shared" si="16"/>
        <v>0</v>
      </c>
      <c r="F127" s="163">
        <f t="shared" si="17"/>
        <v>0</v>
      </c>
      <c r="G127" s="163">
        <f t="shared" si="18"/>
        <v>0</v>
      </c>
      <c r="H127" s="333">
        <f t="shared" si="9"/>
        <v>0</v>
      </c>
      <c r="I127" s="344">
        <f t="shared" si="14"/>
        <v>0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 t="str">
        <f>IF(D93="","-",+C127+1)</f>
        <v>-</v>
      </c>
      <c r="D128" s="158">
        <f>IF(F127+SUM(E$99:E127)=D$92,F127,D$92-SUM(E$99:E127))</f>
        <v>0</v>
      </c>
      <c r="E128" s="164">
        <f t="shared" si="16"/>
        <v>0</v>
      </c>
      <c r="F128" s="163">
        <f t="shared" si="17"/>
        <v>0</v>
      </c>
      <c r="G128" s="163">
        <f t="shared" si="18"/>
        <v>0</v>
      </c>
      <c r="H128" s="333">
        <f t="shared" si="9"/>
        <v>0</v>
      </c>
      <c r="I128" s="344">
        <f t="shared" si="14"/>
        <v>0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 t="str">
        <f>IF(D93="","-",+C128+1)</f>
        <v>-</v>
      </c>
      <c r="D129" s="158">
        <f>IF(F128+SUM(E$99:E128)=D$92,F128,D$92-SUM(E$99:E128))</f>
        <v>0</v>
      </c>
      <c r="E129" s="164">
        <f t="shared" si="16"/>
        <v>0</v>
      </c>
      <c r="F129" s="163">
        <f t="shared" si="17"/>
        <v>0</v>
      </c>
      <c r="G129" s="163">
        <f t="shared" si="18"/>
        <v>0</v>
      </c>
      <c r="H129" s="333">
        <f t="shared" si="9"/>
        <v>0</v>
      </c>
      <c r="I129" s="344">
        <f t="shared" si="14"/>
        <v>0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 t="str">
        <f>IF(D93="","-",+C129+1)</f>
        <v>-</v>
      </c>
      <c r="D130" s="158">
        <f>IF(F129+SUM(E$99:E129)=D$92,F129,D$92-SUM(E$99:E129))</f>
        <v>0</v>
      </c>
      <c r="E130" s="164">
        <f t="shared" si="16"/>
        <v>0</v>
      </c>
      <c r="F130" s="163">
        <f t="shared" si="17"/>
        <v>0</v>
      </c>
      <c r="G130" s="163">
        <f t="shared" si="18"/>
        <v>0</v>
      </c>
      <c r="H130" s="333">
        <f t="shared" si="9"/>
        <v>0</v>
      </c>
      <c r="I130" s="344">
        <f t="shared" si="14"/>
        <v>0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 t="str">
        <f>IF(D93="","-",+C130+1)</f>
        <v>-</v>
      </c>
      <c r="D131" s="158">
        <f>IF(F130+SUM(E$99:E130)=D$92,F130,D$92-SUM(E$99:E130))</f>
        <v>0</v>
      </c>
      <c r="E131" s="164">
        <f t="shared" si="16"/>
        <v>0</v>
      </c>
      <c r="F131" s="163">
        <f t="shared" si="17"/>
        <v>0</v>
      </c>
      <c r="G131" s="163">
        <f t="shared" si="18"/>
        <v>0</v>
      </c>
      <c r="H131" s="333">
        <f t="shared" si="9"/>
        <v>0</v>
      </c>
      <c r="I131" s="344">
        <f t="shared" si="14"/>
        <v>0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 t="str">
        <f>IF(D93="","-",+C131+1)</f>
        <v>-</v>
      </c>
      <c r="D132" s="158">
        <f>IF(F131+SUM(E$99:E131)=D$92,F131,D$92-SUM(E$99:E131))</f>
        <v>0</v>
      </c>
      <c r="E132" s="164">
        <f t="shared" si="16"/>
        <v>0</v>
      </c>
      <c r="F132" s="163">
        <f t="shared" si="17"/>
        <v>0</v>
      </c>
      <c r="G132" s="163">
        <f t="shared" si="18"/>
        <v>0</v>
      </c>
      <c r="H132" s="333">
        <f t="shared" si="9"/>
        <v>0</v>
      </c>
      <c r="I132" s="344">
        <f t="shared" si="14"/>
        <v>0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 t="str">
        <f>IF(D93="","-",+C132+1)</f>
        <v>-</v>
      </c>
      <c r="D133" s="158">
        <f>IF(F132+SUM(E$99:E132)=D$92,F132,D$92-SUM(E$99:E132))</f>
        <v>0</v>
      </c>
      <c r="E133" s="164">
        <f t="shared" si="16"/>
        <v>0</v>
      </c>
      <c r="F133" s="163">
        <f t="shared" si="17"/>
        <v>0</v>
      </c>
      <c r="G133" s="163">
        <f t="shared" si="18"/>
        <v>0</v>
      </c>
      <c r="H133" s="333">
        <f t="shared" si="9"/>
        <v>0</v>
      </c>
      <c r="I133" s="344">
        <f t="shared" si="14"/>
        <v>0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 t="str">
        <f>IF(D93="","-",+C133+1)</f>
        <v>-</v>
      </c>
      <c r="D134" s="158">
        <f>IF(F133+SUM(E$99:E133)=D$92,F133,D$92-SUM(E$99:E133))</f>
        <v>0</v>
      </c>
      <c r="E134" s="164">
        <f t="shared" si="16"/>
        <v>0</v>
      </c>
      <c r="F134" s="163">
        <f t="shared" si="17"/>
        <v>0</v>
      </c>
      <c r="G134" s="163">
        <f t="shared" si="18"/>
        <v>0</v>
      </c>
      <c r="H134" s="333">
        <f t="shared" si="9"/>
        <v>0</v>
      </c>
      <c r="I134" s="344">
        <f t="shared" si="14"/>
        <v>0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 t="str">
        <f>IF(D93="","-",+C134+1)</f>
        <v>-</v>
      </c>
      <c r="D135" s="158">
        <f>IF(F134+SUM(E$99:E134)=D$92,F134,D$92-SUM(E$99:E134))</f>
        <v>0</v>
      </c>
      <c r="E135" s="164">
        <f t="shared" si="16"/>
        <v>0</v>
      </c>
      <c r="F135" s="163">
        <f t="shared" si="17"/>
        <v>0</v>
      </c>
      <c r="G135" s="163">
        <f t="shared" si="18"/>
        <v>0</v>
      </c>
      <c r="H135" s="333">
        <f t="shared" si="9"/>
        <v>0</v>
      </c>
      <c r="I135" s="344">
        <f t="shared" si="14"/>
        <v>0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 t="str">
        <f>IF(D93="","-",+C135+1)</f>
        <v>-</v>
      </c>
      <c r="D136" s="158">
        <f>IF(F135+SUM(E$99:E135)=D$92,F135,D$92-SUM(E$99:E135))</f>
        <v>0</v>
      </c>
      <c r="E136" s="164">
        <f t="shared" si="16"/>
        <v>0</v>
      </c>
      <c r="F136" s="163">
        <f t="shared" si="17"/>
        <v>0</v>
      </c>
      <c r="G136" s="163">
        <f t="shared" si="18"/>
        <v>0</v>
      </c>
      <c r="H136" s="333">
        <f t="shared" si="9"/>
        <v>0</v>
      </c>
      <c r="I136" s="344">
        <f t="shared" si="14"/>
        <v>0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 t="str">
        <f>IF(D93="","-",+C136+1)</f>
        <v>-</v>
      </c>
      <c r="D137" s="158">
        <f>IF(F136+SUM(E$99:E136)=D$92,F136,D$92-SUM(E$99:E136))</f>
        <v>0</v>
      </c>
      <c r="E137" s="164">
        <f t="shared" si="16"/>
        <v>0</v>
      </c>
      <c r="F137" s="163">
        <f t="shared" si="17"/>
        <v>0</v>
      </c>
      <c r="G137" s="163">
        <f t="shared" si="18"/>
        <v>0</v>
      </c>
      <c r="H137" s="333">
        <f t="shared" si="9"/>
        <v>0</v>
      </c>
      <c r="I137" s="344">
        <f t="shared" si="14"/>
        <v>0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 t="str">
        <f>IF(D93="","-",+C137+1)</f>
        <v>-</v>
      </c>
      <c r="D138" s="158">
        <f>IF(F137+SUM(E$99:E137)=D$92,F137,D$92-SUM(E$99:E137))</f>
        <v>0</v>
      </c>
      <c r="E138" s="164">
        <f t="shared" si="16"/>
        <v>0</v>
      </c>
      <c r="F138" s="163">
        <f t="shared" si="17"/>
        <v>0</v>
      </c>
      <c r="G138" s="163">
        <f t="shared" si="18"/>
        <v>0</v>
      </c>
      <c r="H138" s="333">
        <f t="shared" si="9"/>
        <v>0</v>
      </c>
      <c r="I138" s="344">
        <f t="shared" si="14"/>
        <v>0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 t="str">
        <f>IF(D93="","-",+C138+1)</f>
        <v>-</v>
      </c>
      <c r="D139" s="158">
        <f>IF(F138+SUM(E$99:E138)=D$92,F138,D$92-SUM(E$99:E138))</f>
        <v>0</v>
      </c>
      <c r="E139" s="164">
        <f t="shared" si="16"/>
        <v>0</v>
      </c>
      <c r="F139" s="163">
        <f t="shared" si="17"/>
        <v>0</v>
      </c>
      <c r="G139" s="163">
        <f t="shared" si="18"/>
        <v>0</v>
      </c>
      <c r="H139" s="333">
        <f t="shared" si="9"/>
        <v>0</v>
      </c>
      <c r="I139" s="344">
        <f t="shared" si="14"/>
        <v>0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 t="str">
        <f>IF(D93="","-",+C139+1)</f>
        <v>-</v>
      </c>
      <c r="D140" s="158">
        <f>IF(F139+SUM(E$99:E139)=D$92,F139,D$92-SUM(E$99:E139))</f>
        <v>0</v>
      </c>
      <c r="E140" s="164">
        <f t="shared" si="16"/>
        <v>0</v>
      </c>
      <c r="F140" s="163">
        <f t="shared" si="17"/>
        <v>0</v>
      </c>
      <c r="G140" s="163">
        <f t="shared" si="18"/>
        <v>0</v>
      </c>
      <c r="H140" s="333">
        <f t="shared" si="9"/>
        <v>0</v>
      </c>
      <c r="I140" s="344">
        <f t="shared" si="14"/>
        <v>0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 t="str">
        <f>IF(D93="","-",+C140+1)</f>
        <v>-</v>
      </c>
      <c r="D141" s="158">
        <f>IF(F140+SUM(E$99:E140)=D$92,F140,D$92-SUM(E$99:E140))</f>
        <v>0</v>
      </c>
      <c r="E141" s="164">
        <f t="shared" si="16"/>
        <v>0</v>
      </c>
      <c r="F141" s="163">
        <f t="shared" si="17"/>
        <v>0</v>
      </c>
      <c r="G141" s="163">
        <f t="shared" si="18"/>
        <v>0</v>
      </c>
      <c r="H141" s="333">
        <f t="shared" si="9"/>
        <v>0</v>
      </c>
      <c r="I141" s="344">
        <f t="shared" si="14"/>
        <v>0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 t="str">
        <f>IF(D93="","-",+C141+1)</f>
        <v>-</v>
      </c>
      <c r="D142" s="158">
        <f>IF(F141+SUM(E$99:E141)=D$92,F141,D$92-SUM(E$99:E141))</f>
        <v>0</v>
      </c>
      <c r="E142" s="164">
        <f t="shared" si="16"/>
        <v>0</v>
      </c>
      <c r="F142" s="163">
        <f t="shared" si="17"/>
        <v>0</v>
      </c>
      <c r="G142" s="163">
        <f t="shared" si="18"/>
        <v>0</v>
      </c>
      <c r="H142" s="333">
        <f t="shared" si="9"/>
        <v>0</v>
      </c>
      <c r="I142" s="344">
        <f t="shared" si="14"/>
        <v>0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 t="str">
        <f>IF(D93="","-",+C142+1)</f>
        <v>-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33">
        <f t="shared" si="9"/>
        <v>0</v>
      </c>
      <c r="I143" s="344">
        <f t="shared" si="14"/>
        <v>0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 t="str">
        <f>IF(D93="","-",+C143+1)</f>
        <v>-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33">
        <f t="shared" si="9"/>
        <v>0</v>
      </c>
      <c r="I144" s="344">
        <f t="shared" si="14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 t="str">
        <f>IF(D93="","-",+C144+1)</f>
        <v>-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33">
        <f t="shared" si="9"/>
        <v>0</v>
      </c>
      <c r="I145" s="344">
        <f t="shared" si="14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 t="str">
        <f>IF(D93="","-",+C145+1)</f>
        <v>-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 t="str">
        <f>IF(D93="","-",+C146+1)</f>
        <v>-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 t="str">
        <f>IF(D93="","-",+C147+1)</f>
        <v>-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 t="str">
        <f>IF(D93="","-",+C148+1)</f>
        <v>-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 t="str">
        <f>IF(D93="","-",+C149+1)</f>
        <v>-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 t="str">
        <f>IF(D93="","-",+C150+1)</f>
        <v>-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 t="str">
        <f>IF(D93="","-",+C151+1)</f>
        <v>-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 t="str">
        <f>IF(D93="","-",+C152+1)</f>
        <v>-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 t="str">
        <f>IF(D93="","-",+C153+1)</f>
        <v>-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9" priority="1" stopIfTrue="1" operator="equal">
      <formula>$I$10</formula>
    </cfRule>
  </conditionalFormatting>
  <conditionalFormatting sqref="C99:C154">
    <cfRule type="cellIs" dxfId="8" priority="2" stopIfTrue="1" operator="equal">
      <formula>$J$92</formula>
    </cfRule>
  </conditionalFormatting>
  <pageMargins left="0.5" right="0.25" top="1" bottom="0.25" header="0.25" footer="0.5"/>
  <pageSetup scale="47" orientation="landscape" r:id="rId1"/>
  <rowBreaks count="1" manualBreakCount="1">
    <brk id="82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55" zoomScale="78" zoomScaleNormal="78" workbookViewId="0">
      <selection activeCell="A83" sqref="A83:XFD83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25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167204.53431831533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167204.53431831533</v>
      </c>
      <c r="O6" s="1"/>
      <c r="P6" s="1"/>
    </row>
    <row r="7" spans="1:16" ht="13.5" thickBot="1">
      <c r="C7" s="127" t="s">
        <v>41</v>
      </c>
      <c r="D7" s="227" t="s">
        <v>290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300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1216000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30400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2018</v>
      </c>
      <c r="D17" s="466">
        <v>0</v>
      </c>
      <c r="E17" s="469">
        <v>13511.111111111109</v>
      </c>
      <c r="F17" s="467">
        <v>1202488.888888889</v>
      </c>
      <c r="G17" s="469">
        <v>85515.508884209848</v>
      </c>
      <c r="H17" s="468">
        <v>85515.508884209848</v>
      </c>
      <c r="I17" s="160">
        <f t="shared" ref="I17:I72" si="0">H17-G17</f>
        <v>0</v>
      </c>
      <c r="J17" s="160"/>
      <c r="K17" s="337">
        <f>+G17</f>
        <v>85515.508884209848</v>
      </c>
      <c r="L17" s="161">
        <f t="shared" ref="L17:L72" si="1">IF(K17&lt;&gt;0,+G17-K17,0)</f>
        <v>0</v>
      </c>
      <c r="M17" s="337">
        <f>+H17</f>
        <v>85515.508884209848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2019</v>
      </c>
      <c r="D18" s="166">
        <f>IF(F17+SUM(E$17:E17)=D$10,F17,D$10-SUM(E$17:E17))</f>
        <v>1202488.888888889</v>
      </c>
      <c r="E18" s="164">
        <f t="shared" ref="E18:E72" si="4">IF(+I$14&lt;F17,I$14,D18)</f>
        <v>30400</v>
      </c>
      <c r="F18" s="163">
        <f t="shared" ref="F18:F72" si="5">+D18-E18</f>
        <v>1172088.888888889</v>
      </c>
      <c r="G18" s="165">
        <f t="shared" ref="G18:G72" si="6">(D18+F18)/2*I$12+E18</f>
        <v>167204.53431831533</v>
      </c>
      <c r="H18" s="147">
        <f t="shared" ref="H18:H72" si="7">+(D18+F18)/2*I$13+E18</f>
        <v>167204.53431831533</v>
      </c>
      <c r="I18" s="160">
        <f t="shared" si="0"/>
        <v>0</v>
      </c>
      <c r="J18" s="160"/>
      <c r="K18" s="335"/>
      <c r="L18" s="162">
        <f t="shared" si="1"/>
        <v>0</v>
      </c>
      <c r="M18" s="335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2020</v>
      </c>
      <c r="D19" s="166">
        <f>IF(F18+SUM(E$17:E18)=D$10,F18,D$10-SUM(E$17:E18))</f>
        <v>1172088.888888889</v>
      </c>
      <c r="E19" s="164">
        <f t="shared" si="4"/>
        <v>30400</v>
      </c>
      <c r="F19" s="163">
        <f t="shared" si="5"/>
        <v>1141688.888888889</v>
      </c>
      <c r="G19" s="165">
        <f t="shared" si="6"/>
        <v>163701.71551642389</v>
      </c>
      <c r="H19" s="147">
        <f t="shared" si="7"/>
        <v>163701.71551642389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1141688.888888889</v>
      </c>
      <c r="E20" s="164">
        <f t="shared" si="4"/>
        <v>30400</v>
      </c>
      <c r="F20" s="163">
        <f t="shared" si="5"/>
        <v>1111288.888888889</v>
      </c>
      <c r="G20" s="165">
        <f t="shared" si="6"/>
        <v>160198.89671453246</v>
      </c>
      <c r="H20" s="147">
        <f t="shared" si="7"/>
        <v>160198.89671453246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1111288.888888889</v>
      </c>
      <c r="E21" s="164">
        <f t="shared" si="4"/>
        <v>30400</v>
      </c>
      <c r="F21" s="163">
        <f t="shared" si="5"/>
        <v>1080888.888888889</v>
      </c>
      <c r="G21" s="165">
        <f t="shared" si="6"/>
        <v>156696.07791264105</v>
      </c>
      <c r="H21" s="147">
        <f t="shared" si="7"/>
        <v>156696.07791264105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1080888.888888889</v>
      </c>
      <c r="E22" s="164">
        <f t="shared" si="4"/>
        <v>30400</v>
      </c>
      <c r="F22" s="163">
        <f t="shared" si="5"/>
        <v>1050488.888888889</v>
      </c>
      <c r="G22" s="165">
        <f t="shared" si="6"/>
        <v>153193.25911074961</v>
      </c>
      <c r="H22" s="147">
        <f t="shared" si="7"/>
        <v>153193.25911074961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1050488.888888889</v>
      </c>
      <c r="E23" s="164">
        <f t="shared" si="4"/>
        <v>30400</v>
      </c>
      <c r="F23" s="163">
        <f t="shared" si="5"/>
        <v>1020088.888888889</v>
      </c>
      <c r="G23" s="165">
        <f t="shared" si="6"/>
        <v>149690.44030885817</v>
      </c>
      <c r="H23" s="147">
        <f t="shared" si="7"/>
        <v>149690.44030885817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1020088.888888889</v>
      </c>
      <c r="E24" s="164">
        <f t="shared" si="4"/>
        <v>30400</v>
      </c>
      <c r="F24" s="163">
        <f t="shared" si="5"/>
        <v>989688.88888888899</v>
      </c>
      <c r="G24" s="165">
        <f t="shared" si="6"/>
        <v>146187.62150696677</v>
      </c>
      <c r="H24" s="147">
        <f t="shared" si="7"/>
        <v>146187.62150696677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989688.88888888899</v>
      </c>
      <c r="E25" s="164">
        <f t="shared" si="4"/>
        <v>30400</v>
      </c>
      <c r="F25" s="163">
        <f t="shared" si="5"/>
        <v>959288.88888888899</v>
      </c>
      <c r="G25" s="165">
        <f t="shared" si="6"/>
        <v>142684.8027050753</v>
      </c>
      <c r="H25" s="147">
        <f t="shared" si="7"/>
        <v>142684.8027050753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959288.88888888899</v>
      </c>
      <c r="E26" s="164">
        <f t="shared" si="4"/>
        <v>30400</v>
      </c>
      <c r="F26" s="163">
        <f t="shared" si="5"/>
        <v>928888.88888888899</v>
      </c>
      <c r="G26" s="165">
        <f t="shared" si="6"/>
        <v>139181.98390318389</v>
      </c>
      <c r="H26" s="147">
        <f t="shared" si="7"/>
        <v>139181.98390318389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928888.88888888899</v>
      </c>
      <c r="E27" s="164">
        <f t="shared" si="4"/>
        <v>30400</v>
      </c>
      <c r="F27" s="163">
        <f t="shared" si="5"/>
        <v>898488.88888888899</v>
      </c>
      <c r="G27" s="165">
        <f t="shared" si="6"/>
        <v>135679.16510129246</v>
      </c>
      <c r="H27" s="147">
        <f t="shared" si="7"/>
        <v>135679.16510129246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898488.88888888899</v>
      </c>
      <c r="E28" s="164">
        <f t="shared" si="4"/>
        <v>30400</v>
      </c>
      <c r="F28" s="163">
        <f t="shared" si="5"/>
        <v>868088.88888888899</v>
      </c>
      <c r="G28" s="165">
        <f t="shared" si="6"/>
        <v>132176.34629940102</v>
      </c>
      <c r="H28" s="147">
        <f t="shared" si="7"/>
        <v>132176.34629940102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868088.88888888899</v>
      </c>
      <c r="E29" s="164">
        <f t="shared" si="4"/>
        <v>30400</v>
      </c>
      <c r="F29" s="163">
        <f t="shared" si="5"/>
        <v>837688.88888888899</v>
      </c>
      <c r="G29" s="165">
        <f t="shared" si="6"/>
        <v>128673.5274975096</v>
      </c>
      <c r="H29" s="147">
        <f t="shared" si="7"/>
        <v>128673.5274975096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837688.88888888899</v>
      </c>
      <c r="E30" s="164">
        <f t="shared" si="4"/>
        <v>30400</v>
      </c>
      <c r="F30" s="163">
        <f t="shared" si="5"/>
        <v>807288.88888888899</v>
      </c>
      <c r="G30" s="165">
        <f t="shared" si="6"/>
        <v>125170.70869561816</v>
      </c>
      <c r="H30" s="147">
        <f t="shared" si="7"/>
        <v>125170.70869561816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807288.88888888899</v>
      </c>
      <c r="E31" s="164">
        <f t="shared" si="4"/>
        <v>30400</v>
      </c>
      <c r="F31" s="163">
        <f t="shared" si="5"/>
        <v>776888.88888888899</v>
      </c>
      <c r="G31" s="165">
        <f t="shared" si="6"/>
        <v>121667.88989372674</v>
      </c>
      <c r="H31" s="147">
        <f t="shared" si="7"/>
        <v>121667.88989372674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776888.88888888899</v>
      </c>
      <c r="E32" s="164">
        <f t="shared" si="4"/>
        <v>30400</v>
      </c>
      <c r="F32" s="163">
        <f t="shared" si="5"/>
        <v>746488.88888888899</v>
      </c>
      <c r="G32" s="165">
        <f t="shared" si="6"/>
        <v>118165.0710918353</v>
      </c>
      <c r="H32" s="147">
        <f t="shared" si="7"/>
        <v>118165.0710918353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746488.88888888899</v>
      </c>
      <c r="E33" s="164">
        <f t="shared" si="4"/>
        <v>30400</v>
      </c>
      <c r="F33" s="163">
        <f t="shared" si="5"/>
        <v>716088.88888888899</v>
      </c>
      <c r="G33" s="165">
        <f t="shared" si="6"/>
        <v>114662.25228994388</v>
      </c>
      <c r="H33" s="147">
        <f t="shared" si="7"/>
        <v>114662.25228994388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716088.88888888899</v>
      </c>
      <c r="E34" s="164">
        <f t="shared" si="4"/>
        <v>30400</v>
      </c>
      <c r="F34" s="163">
        <f t="shared" si="5"/>
        <v>685688.88888888899</v>
      </c>
      <c r="G34" s="165">
        <f t="shared" si="6"/>
        <v>111159.43348805244</v>
      </c>
      <c r="H34" s="147">
        <f t="shared" si="7"/>
        <v>111159.43348805244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685688.88888888899</v>
      </c>
      <c r="E35" s="164">
        <f t="shared" si="4"/>
        <v>30400</v>
      </c>
      <c r="F35" s="163">
        <f t="shared" si="5"/>
        <v>655288.88888888899</v>
      </c>
      <c r="G35" s="165">
        <f t="shared" si="6"/>
        <v>107656.61468616102</v>
      </c>
      <c r="H35" s="147">
        <f t="shared" si="7"/>
        <v>107656.61468616102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655288.88888888899</v>
      </c>
      <c r="E36" s="164">
        <f t="shared" si="4"/>
        <v>30400</v>
      </c>
      <c r="F36" s="163">
        <f t="shared" si="5"/>
        <v>624888.88888888899</v>
      </c>
      <c r="G36" s="165">
        <f t="shared" si="6"/>
        <v>104153.79588426958</v>
      </c>
      <c r="H36" s="147">
        <f t="shared" si="7"/>
        <v>104153.79588426958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624888.88888888899</v>
      </c>
      <c r="E37" s="164">
        <f t="shared" si="4"/>
        <v>30400</v>
      </c>
      <c r="F37" s="163">
        <f t="shared" si="5"/>
        <v>594488.88888888899</v>
      </c>
      <c r="G37" s="165">
        <f t="shared" si="6"/>
        <v>100650.97708237814</v>
      </c>
      <c r="H37" s="147">
        <f t="shared" si="7"/>
        <v>100650.97708237814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594488.88888888899</v>
      </c>
      <c r="E38" s="164">
        <f t="shared" si="4"/>
        <v>30400</v>
      </c>
      <c r="F38" s="163">
        <f t="shared" si="5"/>
        <v>564088.88888888899</v>
      </c>
      <c r="G38" s="165">
        <f t="shared" si="6"/>
        <v>97148.158280486721</v>
      </c>
      <c r="H38" s="147">
        <f t="shared" si="7"/>
        <v>97148.158280486721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564088.88888888899</v>
      </c>
      <c r="E39" s="164">
        <f t="shared" si="4"/>
        <v>30400</v>
      </c>
      <c r="F39" s="163">
        <f t="shared" si="5"/>
        <v>533688.88888888899</v>
      </c>
      <c r="G39" s="165">
        <f t="shared" si="6"/>
        <v>93645.339478595299</v>
      </c>
      <c r="H39" s="147">
        <f t="shared" si="7"/>
        <v>93645.339478595299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533688.88888888899</v>
      </c>
      <c r="E40" s="164">
        <f t="shared" si="4"/>
        <v>30400</v>
      </c>
      <c r="F40" s="163">
        <f t="shared" si="5"/>
        <v>503288.88888888899</v>
      </c>
      <c r="G40" s="165">
        <f t="shared" si="6"/>
        <v>90142.520676703862</v>
      </c>
      <c r="H40" s="147">
        <f t="shared" si="7"/>
        <v>90142.520676703862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503288.88888888899</v>
      </c>
      <c r="E41" s="164">
        <f t="shared" si="4"/>
        <v>30400</v>
      </c>
      <c r="F41" s="163">
        <f t="shared" si="5"/>
        <v>472888.88888888899</v>
      </c>
      <c r="G41" s="165">
        <f t="shared" si="6"/>
        <v>86639.701874812425</v>
      </c>
      <c r="H41" s="147">
        <f t="shared" si="7"/>
        <v>86639.701874812425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472888.88888888899</v>
      </c>
      <c r="E42" s="164">
        <f t="shared" si="4"/>
        <v>30400</v>
      </c>
      <c r="F42" s="163">
        <f t="shared" si="5"/>
        <v>442488.88888888899</v>
      </c>
      <c r="G42" s="165">
        <f t="shared" si="6"/>
        <v>83136.883072920988</v>
      </c>
      <c r="H42" s="147">
        <f t="shared" si="7"/>
        <v>83136.883072920988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442488.88888888899</v>
      </c>
      <c r="E43" s="164">
        <f t="shared" si="4"/>
        <v>30400</v>
      </c>
      <c r="F43" s="163">
        <f t="shared" si="5"/>
        <v>412088.88888888899</v>
      </c>
      <c r="G43" s="165">
        <f t="shared" si="6"/>
        <v>79634.064271029565</v>
      </c>
      <c r="H43" s="147">
        <f t="shared" si="7"/>
        <v>79634.064271029565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412088.88888888899</v>
      </c>
      <c r="E44" s="164">
        <f t="shared" si="4"/>
        <v>30400</v>
      </c>
      <c r="F44" s="163">
        <f t="shared" si="5"/>
        <v>381688.88888888899</v>
      </c>
      <c r="G44" s="165">
        <f t="shared" si="6"/>
        <v>76131.245469138143</v>
      </c>
      <c r="H44" s="147">
        <f t="shared" si="7"/>
        <v>76131.245469138143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381688.88888888899</v>
      </c>
      <c r="E45" s="164">
        <f t="shared" si="4"/>
        <v>30400</v>
      </c>
      <c r="F45" s="163">
        <f t="shared" si="5"/>
        <v>351288.88888888899</v>
      </c>
      <c r="G45" s="165">
        <f t="shared" si="6"/>
        <v>72628.426667246706</v>
      </c>
      <c r="H45" s="147">
        <f t="shared" si="7"/>
        <v>72628.426667246706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351288.88888888899</v>
      </c>
      <c r="E46" s="164">
        <f t="shared" si="4"/>
        <v>30400</v>
      </c>
      <c r="F46" s="163">
        <f t="shared" si="5"/>
        <v>320888.88888888899</v>
      </c>
      <c r="G46" s="165">
        <f t="shared" si="6"/>
        <v>69125.607865355269</v>
      </c>
      <c r="H46" s="147">
        <f t="shared" si="7"/>
        <v>69125.607865355269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320888.88888888899</v>
      </c>
      <c r="E47" s="164">
        <f t="shared" si="4"/>
        <v>30400</v>
      </c>
      <c r="F47" s="163">
        <f t="shared" si="5"/>
        <v>290488.88888888899</v>
      </c>
      <c r="G47" s="165">
        <f t="shared" si="6"/>
        <v>65622.789063463846</v>
      </c>
      <c r="H47" s="147">
        <f t="shared" si="7"/>
        <v>65622.789063463846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290488.88888888899</v>
      </c>
      <c r="E48" s="164">
        <f t="shared" si="4"/>
        <v>30400</v>
      </c>
      <c r="F48" s="163">
        <f t="shared" si="5"/>
        <v>260088.88888888899</v>
      </c>
      <c r="G48" s="165">
        <f t="shared" si="6"/>
        <v>62119.970261572409</v>
      </c>
      <c r="H48" s="147">
        <f t="shared" si="7"/>
        <v>62119.970261572409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260088.88888888899</v>
      </c>
      <c r="E49" s="164">
        <f t="shared" si="4"/>
        <v>30400</v>
      </c>
      <c r="F49" s="163">
        <f t="shared" si="5"/>
        <v>229688.88888888899</v>
      </c>
      <c r="G49" s="165">
        <f t="shared" si="6"/>
        <v>58617.151459680987</v>
      </c>
      <c r="H49" s="147">
        <f t="shared" si="7"/>
        <v>58617.151459680987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229688.88888888899</v>
      </c>
      <c r="E50" s="164">
        <f t="shared" si="4"/>
        <v>30400</v>
      </c>
      <c r="F50" s="163">
        <f t="shared" si="5"/>
        <v>199288.88888888899</v>
      </c>
      <c r="G50" s="165">
        <f t="shared" si="6"/>
        <v>55114.33265778955</v>
      </c>
      <c r="H50" s="147">
        <f t="shared" si="7"/>
        <v>55114.33265778955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199288.88888888899</v>
      </c>
      <c r="E51" s="164">
        <f t="shared" si="4"/>
        <v>30400</v>
      </c>
      <c r="F51" s="163">
        <f t="shared" si="5"/>
        <v>168888.88888888899</v>
      </c>
      <c r="G51" s="165">
        <f t="shared" si="6"/>
        <v>51611.51385589812</v>
      </c>
      <c r="H51" s="147">
        <f t="shared" si="7"/>
        <v>51611.51385589812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168888.88888888899</v>
      </c>
      <c r="E52" s="164">
        <f t="shared" si="4"/>
        <v>30400</v>
      </c>
      <c r="F52" s="163">
        <f t="shared" si="5"/>
        <v>138488.88888888899</v>
      </c>
      <c r="G52" s="165">
        <f t="shared" si="6"/>
        <v>48108.69505400669</v>
      </c>
      <c r="H52" s="147">
        <f t="shared" si="7"/>
        <v>48108.69505400669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138488.88888888899</v>
      </c>
      <c r="E53" s="164">
        <f t="shared" si="4"/>
        <v>30400</v>
      </c>
      <c r="F53" s="163">
        <f t="shared" si="5"/>
        <v>108088.88888888899</v>
      </c>
      <c r="G53" s="165">
        <f t="shared" si="6"/>
        <v>44605.87625211526</v>
      </c>
      <c r="H53" s="147">
        <f t="shared" si="7"/>
        <v>44605.87625211526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108088.88888888899</v>
      </c>
      <c r="E54" s="164">
        <f t="shared" si="4"/>
        <v>30400</v>
      </c>
      <c r="F54" s="163">
        <f t="shared" si="5"/>
        <v>77688.888888888992</v>
      </c>
      <c r="G54" s="165">
        <f t="shared" si="6"/>
        <v>41103.057450223831</v>
      </c>
      <c r="H54" s="147">
        <f t="shared" si="7"/>
        <v>41103.057450223831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77688.888888888992</v>
      </c>
      <c r="E55" s="164">
        <f t="shared" si="4"/>
        <v>30400</v>
      </c>
      <c r="F55" s="163">
        <f t="shared" si="5"/>
        <v>47288.888888888992</v>
      </c>
      <c r="G55" s="165">
        <f t="shared" si="6"/>
        <v>37600.238648332393</v>
      </c>
      <c r="H55" s="147">
        <f t="shared" si="7"/>
        <v>37600.238648332393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47288.888888888992</v>
      </c>
      <c r="E56" s="164">
        <f t="shared" si="4"/>
        <v>30400</v>
      </c>
      <c r="F56" s="163">
        <f t="shared" si="5"/>
        <v>16888.888888888992</v>
      </c>
      <c r="G56" s="165">
        <f t="shared" si="6"/>
        <v>34097.419846440964</v>
      </c>
      <c r="H56" s="147">
        <f t="shared" si="7"/>
        <v>34097.419846440964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16888.888888888992</v>
      </c>
      <c r="E57" s="164">
        <f t="shared" si="4"/>
        <v>16888.888888888992</v>
      </c>
      <c r="F57" s="163">
        <f t="shared" si="5"/>
        <v>0</v>
      </c>
      <c r="G57" s="165">
        <f t="shared" si="6"/>
        <v>17861.894111636619</v>
      </c>
      <c r="H57" s="147">
        <f t="shared" si="7"/>
        <v>17861.894111636619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1216000</v>
      </c>
      <c r="F73" s="115"/>
      <c r="G73" s="115">
        <f>SUM(G17:G72)</f>
        <v>4028765.509208594</v>
      </c>
      <c r="H73" s="115">
        <f>SUM(H17:H72)</f>
        <v>4028765.509208594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25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Duncan-Comanche Tap 69 KV Rebuild and Duncan station upgrades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1216000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26435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2018</v>
      </c>
      <c r="D99" s="158">
        <v>0</v>
      </c>
      <c r="E99" s="165">
        <f>IF(OR(D11=I10,D92&lt;100000),0,J$96/12*(12-D94))</f>
        <v>13217.5</v>
      </c>
      <c r="F99" s="163">
        <f>IF(D93=C99,+D92-E99,+D99-E99)</f>
        <v>1202782.5</v>
      </c>
      <c r="G99" s="218">
        <f>+(F99+D99)/2</f>
        <v>601391.25</v>
      </c>
      <c r="H99" s="218">
        <f t="shared" ref="H99:H154" si="9">+J$94*G99+E99</f>
        <v>89505.496471075618</v>
      </c>
      <c r="I99" s="218">
        <f>+J$95*G99+E99</f>
        <v>89505.496471075618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>
        <f>IF(D93="","-",+C99+1)</f>
        <v>2019</v>
      </c>
      <c r="D100" s="158">
        <f>IF(F99+SUM(E$99:E99)=D$92,F99,D$92-SUM(E$99:E99))</f>
        <v>1202782.5</v>
      </c>
      <c r="E100" s="164">
        <f>IF(+J$96&lt;F99,J$96,D100)</f>
        <v>26435</v>
      </c>
      <c r="F100" s="163">
        <f>+D100-E100</f>
        <v>1176347.5</v>
      </c>
      <c r="G100" s="163">
        <f>+(F100+D100)/2</f>
        <v>1189565</v>
      </c>
      <c r="H100" s="333">
        <f t="shared" si="9"/>
        <v>177334.31973921313</v>
      </c>
      <c r="I100" s="344">
        <f t="shared" ref="I100:I154" si="14">+J$95*G100+E100</f>
        <v>177334.31973921313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1176347.5</v>
      </c>
      <c r="E101" s="164">
        <f t="shared" ref="E101:E154" si="16">IF(+J$96&lt;F100,J$96,D101)</f>
        <v>26435</v>
      </c>
      <c r="F101" s="163">
        <f t="shared" ref="F101:F154" si="17">+D101-E101</f>
        <v>1149912.5</v>
      </c>
      <c r="G101" s="163">
        <f t="shared" ref="G101:G154" si="18">+(F101+D101)/2</f>
        <v>1163130</v>
      </c>
      <c r="H101" s="333">
        <f t="shared" si="9"/>
        <v>173980.97333333697</v>
      </c>
      <c r="I101" s="344">
        <f t="shared" si="14"/>
        <v>173980.97333333697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1149912.5</v>
      </c>
      <c r="E102" s="164">
        <f t="shared" si="16"/>
        <v>26435</v>
      </c>
      <c r="F102" s="163">
        <f t="shared" si="17"/>
        <v>1123477.5</v>
      </c>
      <c r="G102" s="163">
        <f t="shared" si="18"/>
        <v>1136695</v>
      </c>
      <c r="H102" s="333">
        <f t="shared" si="9"/>
        <v>170627.62692746078</v>
      </c>
      <c r="I102" s="344">
        <f t="shared" si="14"/>
        <v>170627.62692746078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1123477.5</v>
      </c>
      <c r="E103" s="164">
        <f t="shared" si="16"/>
        <v>26435</v>
      </c>
      <c r="F103" s="163">
        <f t="shared" si="17"/>
        <v>1097042.5</v>
      </c>
      <c r="G103" s="163">
        <f t="shared" si="18"/>
        <v>1110260</v>
      </c>
      <c r="H103" s="333">
        <f t="shared" si="9"/>
        <v>167274.28052158459</v>
      </c>
      <c r="I103" s="344">
        <f t="shared" si="14"/>
        <v>167274.28052158459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1097042.5</v>
      </c>
      <c r="E104" s="164">
        <f t="shared" si="16"/>
        <v>26435</v>
      </c>
      <c r="F104" s="163">
        <f t="shared" si="17"/>
        <v>1070607.5</v>
      </c>
      <c r="G104" s="163">
        <f t="shared" si="18"/>
        <v>1083825</v>
      </c>
      <c r="H104" s="333">
        <f t="shared" si="9"/>
        <v>163920.93411570843</v>
      </c>
      <c r="I104" s="344">
        <f t="shared" si="14"/>
        <v>163920.93411570843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1070607.5</v>
      </c>
      <c r="E105" s="164">
        <f t="shared" si="16"/>
        <v>26435</v>
      </c>
      <c r="F105" s="163">
        <f t="shared" si="17"/>
        <v>1044172.5</v>
      </c>
      <c r="G105" s="163">
        <f t="shared" si="18"/>
        <v>1057390</v>
      </c>
      <c r="H105" s="333">
        <f t="shared" si="9"/>
        <v>160567.58770983224</v>
      </c>
      <c r="I105" s="344">
        <f t="shared" si="14"/>
        <v>160567.58770983224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1044172.5</v>
      </c>
      <c r="E106" s="164">
        <f t="shared" si="16"/>
        <v>26435</v>
      </c>
      <c r="F106" s="163">
        <f t="shared" si="17"/>
        <v>1017737.5</v>
      </c>
      <c r="G106" s="163">
        <f t="shared" si="18"/>
        <v>1030955</v>
      </c>
      <c r="H106" s="333">
        <f t="shared" si="9"/>
        <v>157214.24130395605</v>
      </c>
      <c r="I106" s="344">
        <f t="shared" si="14"/>
        <v>157214.24130395605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1017737.5</v>
      </c>
      <c r="E107" s="164">
        <f t="shared" si="16"/>
        <v>26435</v>
      </c>
      <c r="F107" s="163">
        <f t="shared" si="17"/>
        <v>991302.5</v>
      </c>
      <c r="G107" s="163">
        <f t="shared" si="18"/>
        <v>1004520</v>
      </c>
      <c r="H107" s="333">
        <f t="shared" si="9"/>
        <v>153860.89489807986</v>
      </c>
      <c r="I107" s="344">
        <f t="shared" si="14"/>
        <v>153860.89489807986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991302.5</v>
      </c>
      <c r="E108" s="164">
        <f t="shared" si="16"/>
        <v>26435</v>
      </c>
      <c r="F108" s="163">
        <f t="shared" si="17"/>
        <v>964867.5</v>
      </c>
      <c r="G108" s="163">
        <f t="shared" si="18"/>
        <v>978085</v>
      </c>
      <c r="H108" s="333">
        <f t="shared" si="9"/>
        <v>150507.5484922037</v>
      </c>
      <c r="I108" s="344">
        <f t="shared" si="14"/>
        <v>150507.5484922037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964867.5</v>
      </c>
      <c r="E109" s="164">
        <f t="shared" si="16"/>
        <v>26435</v>
      </c>
      <c r="F109" s="163">
        <f t="shared" si="17"/>
        <v>938432.5</v>
      </c>
      <c r="G109" s="163">
        <f t="shared" si="18"/>
        <v>951650</v>
      </c>
      <c r="H109" s="333">
        <f t="shared" si="9"/>
        <v>147154.20208632751</v>
      </c>
      <c r="I109" s="344">
        <f t="shared" si="14"/>
        <v>147154.20208632751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938432.5</v>
      </c>
      <c r="E110" s="164">
        <f t="shared" si="16"/>
        <v>26435</v>
      </c>
      <c r="F110" s="163">
        <f t="shared" si="17"/>
        <v>911997.5</v>
      </c>
      <c r="G110" s="163">
        <f t="shared" si="18"/>
        <v>925215</v>
      </c>
      <c r="H110" s="333">
        <f t="shared" si="9"/>
        <v>143800.85568045132</v>
      </c>
      <c r="I110" s="344">
        <f t="shared" si="14"/>
        <v>143800.85568045132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911997.5</v>
      </c>
      <c r="E111" s="164">
        <f t="shared" si="16"/>
        <v>26435</v>
      </c>
      <c r="F111" s="163">
        <f t="shared" si="17"/>
        <v>885562.5</v>
      </c>
      <c r="G111" s="163">
        <f t="shared" si="18"/>
        <v>898780</v>
      </c>
      <c r="H111" s="333">
        <f t="shared" si="9"/>
        <v>140447.50927457516</v>
      </c>
      <c r="I111" s="344">
        <f t="shared" si="14"/>
        <v>140447.50927457516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885562.5</v>
      </c>
      <c r="E112" s="164">
        <f t="shared" si="16"/>
        <v>26435</v>
      </c>
      <c r="F112" s="163">
        <f t="shared" si="17"/>
        <v>859127.5</v>
      </c>
      <c r="G112" s="163">
        <f t="shared" si="18"/>
        <v>872345</v>
      </c>
      <c r="H112" s="333">
        <f t="shared" si="9"/>
        <v>137094.16286869897</v>
      </c>
      <c r="I112" s="344">
        <f t="shared" si="14"/>
        <v>137094.16286869897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859127.5</v>
      </c>
      <c r="E113" s="164">
        <f t="shared" si="16"/>
        <v>26435</v>
      </c>
      <c r="F113" s="163">
        <f t="shared" si="17"/>
        <v>832692.5</v>
      </c>
      <c r="G113" s="163">
        <f t="shared" si="18"/>
        <v>845910</v>
      </c>
      <c r="H113" s="333">
        <f t="shared" si="9"/>
        <v>133740.81646282278</v>
      </c>
      <c r="I113" s="344">
        <f t="shared" si="14"/>
        <v>133740.81646282278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832692.5</v>
      </c>
      <c r="E114" s="164">
        <f t="shared" si="16"/>
        <v>26435</v>
      </c>
      <c r="F114" s="163">
        <f t="shared" si="17"/>
        <v>806257.5</v>
      </c>
      <c r="G114" s="163">
        <f t="shared" si="18"/>
        <v>819475</v>
      </c>
      <c r="H114" s="333">
        <f t="shared" si="9"/>
        <v>130387.47005694661</v>
      </c>
      <c r="I114" s="344">
        <f t="shared" si="14"/>
        <v>130387.47005694661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806257.5</v>
      </c>
      <c r="E115" s="164">
        <f t="shared" si="16"/>
        <v>26435</v>
      </c>
      <c r="F115" s="163">
        <f t="shared" si="17"/>
        <v>779822.5</v>
      </c>
      <c r="G115" s="163">
        <f t="shared" si="18"/>
        <v>793040</v>
      </c>
      <c r="H115" s="333">
        <f t="shared" si="9"/>
        <v>127034.12365107042</v>
      </c>
      <c r="I115" s="344">
        <f t="shared" si="14"/>
        <v>127034.12365107042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779822.5</v>
      </c>
      <c r="E116" s="164">
        <f t="shared" si="16"/>
        <v>26435</v>
      </c>
      <c r="F116" s="163">
        <f t="shared" si="17"/>
        <v>753387.5</v>
      </c>
      <c r="G116" s="163">
        <f t="shared" si="18"/>
        <v>766605</v>
      </c>
      <c r="H116" s="333">
        <f t="shared" si="9"/>
        <v>123680.77724519424</v>
      </c>
      <c r="I116" s="344">
        <f t="shared" si="14"/>
        <v>123680.77724519424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753387.5</v>
      </c>
      <c r="E117" s="164">
        <f t="shared" si="16"/>
        <v>26435</v>
      </c>
      <c r="F117" s="163">
        <f t="shared" si="17"/>
        <v>726952.5</v>
      </c>
      <c r="G117" s="163">
        <f t="shared" si="18"/>
        <v>740170</v>
      </c>
      <c r="H117" s="333">
        <f t="shared" si="9"/>
        <v>120327.43083931805</v>
      </c>
      <c r="I117" s="344">
        <f t="shared" si="14"/>
        <v>120327.43083931805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726952.5</v>
      </c>
      <c r="E118" s="164">
        <f t="shared" si="16"/>
        <v>26435</v>
      </c>
      <c r="F118" s="163">
        <f t="shared" si="17"/>
        <v>700517.5</v>
      </c>
      <c r="G118" s="163">
        <f t="shared" si="18"/>
        <v>713735</v>
      </c>
      <c r="H118" s="333">
        <f t="shared" si="9"/>
        <v>116974.08443344188</v>
      </c>
      <c r="I118" s="344">
        <f t="shared" si="14"/>
        <v>116974.08443344188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700517.5</v>
      </c>
      <c r="E119" s="164">
        <f t="shared" si="16"/>
        <v>26435</v>
      </c>
      <c r="F119" s="163">
        <f t="shared" si="17"/>
        <v>674082.5</v>
      </c>
      <c r="G119" s="163">
        <f t="shared" si="18"/>
        <v>687300</v>
      </c>
      <c r="H119" s="333">
        <f t="shared" si="9"/>
        <v>113620.73802756569</v>
      </c>
      <c r="I119" s="344">
        <f t="shared" si="14"/>
        <v>113620.73802756569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674082.5</v>
      </c>
      <c r="E120" s="164">
        <f t="shared" si="16"/>
        <v>26435</v>
      </c>
      <c r="F120" s="163">
        <f t="shared" si="17"/>
        <v>647647.5</v>
      </c>
      <c r="G120" s="163">
        <f t="shared" si="18"/>
        <v>660865</v>
      </c>
      <c r="H120" s="333">
        <f t="shared" si="9"/>
        <v>110267.39162168952</v>
      </c>
      <c r="I120" s="344">
        <f t="shared" si="14"/>
        <v>110267.39162168952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647647.5</v>
      </c>
      <c r="E121" s="164">
        <f t="shared" si="16"/>
        <v>26435</v>
      </c>
      <c r="F121" s="163">
        <f t="shared" si="17"/>
        <v>621212.5</v>
      </c>
      <c r="G121" s="163">
        <f t="shared" si="18"/>
        <v>634430</v>
      </c>
      <c r="H121" s="333">
        <f t="shared" si="9"/>
        <v>106914.04521581334</v>
      </c>
      <c r="I121" s="344">
        <f t="shared" si="14"/>
        <v>106914.04521581334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621212.5</v>
      </c>
      <c r="E122" s="164">
        <f t="shared" si="16"/>
        <v>26435</v>
      </c>
      <c r="F122" s="163">
        <f t="shared" si="17"/>
        <v>594777.5</v>
      </c>
      <c r="G122" s="163">
        <f t="shared" si="18"/>
        <v>607995</v>
      </c>
      <c r="H122" s="333">
        <f t="shared" si="9"/>
        <v>103560.69880993715</v>
      </c>
      <c r="I122" s="344">
        <f t="shared" si="14"/>
        <v>103560.69880993715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594777.5</v>
      </c>
      <c r="E123" s="164">
        <f t="shared" si="16"/>
        <v>26435</v>
      </c>
      <c r="F123" s="163">
        <f t="shared" si="17"/>
        <v>568342.5</v>
      </c>
      <c r="G123" s="163">
        <f t="shared" si="18"/>
        <v>581560</v>
      </c>
      <c r="H123" s="333">
        <f t="shared" si="9"/>
        <v>100207.35240406098</v>
      </c>
      <c r="I123" s="344">
        <f t="shared" si="14"/>
        <v>100207.35240406098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568342.5</v>
      </c>
      <c r="E124" s="164">
        <f t="shared" si="16"/>
        <v>26435</v>
      </c>
      <c r="F124" s="163">
        <f t="shared" si="17"/>
        <v>541907.5</v>
      </c>
      <c r="G124" s="163">
        <f t="shared" si="18"/>
        <v>555125</v>
      </c>
      <c r="H124" s="333">
        <f t="shared" si="9"/>
        <v>96854.005998184788</v>
      </c>
      <c r="I124" s="344">
        <f t="shared" si="14"/>
        <v>96854.005998184788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541907.5</v>
      </c>
      <c r="E125" s="164">
        <f t="shared" si="16"/>
        <v>26435</v>
      </c>
      <c r="F125" s="163">
        <f t="shared" si="17"/>
        <v>515472.5</v>
      </c>
      <c r="G125" s="163">
        <f t="shared" si="18"/>
        <v>528690</v>
      </c>
      <c r="H125" s="333">
        <f t="shared" si="9"/>
        <v>93500.659592308613</v>
      </c>
      <c r="I125" s="344">
        <f t="shared" si="14"/>
        <v>93500.659592308613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515472.5</v>
      </c>
      <c r="E126" s="164">
        <f t="shared" si="16"/>
        <v>26435</v>
      </c>
      <c r="F126" s="163">
        <f t="shared" si="17"/>
        <v>489037.5</v>
      </c>
      <c r="G126" s="163">
        <f t="shared" si="18"/>
        <v>502255</v>
      </c>
      <c r="H126" s="333">
        <f t="shared" si="9"/>
        <v>90147.313186432439</v>
      </c>
      <c r="I126" s="344">
        <f t="shared" si="14"/>
        <v>90147.313186432439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489037.5</v>
      </c>
      <c r="E127" s="164">
        <f t="shared" si="16"/>
        <v>26435</v>
      </c>
      <c r="F127" s="163">
        <f t="shared" si="17"/>
        <v>462602.5</v>
      </c>
      <c r="G127" s="163">
        <f t="shared" si="18"/>
        <v>475820</v>
      </c>
      <c r="H127" s="333">
        <f t="shared" si="9"/>
        <v>86793.966780556249</v>
      </c>
      <c r="I127" s="344">
        <f t="shared" si="14"/>
        <v>86793.966780556249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462602.5</v>
      </c>
      <c r="E128" s="164">
        <f t="shared" si="16"/>
        <v>26435</v>
      </c>
      <c r="F128" s="163">
        <f t="shared" si="17"/>
        <v>436167.5</v>
      </c>
      <c r="G128" s="163">
        <f t="shared" si="18"/>
        <v>449385</v>
      </c>
      <c r="H128" s="333">
        <f t="shared" si="9"/>
        <v>83440.62037468006</v>
      </c>
      <c r="I128" s="344">
        <f t="shared" si="14"/>
        <v>83440.62037468006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436167.5</v>
      </c>
      <c r="E129" s="164">
        <f t="shared" si="16"/>
        <v>26435</v>
      </c>
      <c r="F129" s="163">
        <f t="shared" si="17"/>
        <v>409732.5</v>
      </c>
      <c r="G129" s="163">
        <f t="shared" si="18"/>
        <v>422950</v>
      </c>
      <c r="H129" s="333">
        <f t="shared" si="9"/>
        <v>80087.273968803886</v>
      </c>
      <c r="I129" s="344">
        <f t="shared" si="14"/>
        <v>80087.273968803886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409732.5</v>
      </c>
      <c r="E130" s="164">
        <f t="shared" si="16"/>
        <v>26435</v>
      </c>
      <c r="F130" s="163">
        <f t="shared" si="17"/>
        <v>383297.5</v>
      </c>
      <c r="G130" s="163">
        <f t="shared" si="18"/>
        <v>396515</v>
      </c>
      <c r="H130" s="333">
        <f t="shared" si="9"/>
        <v>76733.927562927711</v>
      </c>
      <c r="I130" s="344">
        <f t="shared" si="14"/>
        <v>76733.927562927711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383297.5</v>
      </c>
      <c r="E131" s="164">
        <f t="shared" si="16"/>
        <v>26435</v>
      </c>
      <c r="F131" s="163">
        <f t="shared" si="17"/>
        <v>356862.5</v>
      </c>
      <c r="G131" s="163">
        <f t="shared" si="18"/>
        <v>370080</v>
      </c>
      <c r="H131" s="333">
        <f t="shared" si="9"/>
        <v>73380.581157051522</v>
      </c>
      <c r="I131" s="344">
        <f t="shared" si="14"/>
        <v>73380.581157051522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356862.5</v>
      </c>
      <c r="E132" s="164">
        <f t="shared" si="16"/>
        <v>26435</v>
      </c>
      <c r="F132" s="163">
        <f t="shared" si="17"/>
        <v>330427.5</v>
      </c>
      <c r="G132" s="163">
        <f t="shared" si="18"/>
        <v>343645</v>
      </c>
      <c r="H132" s="333">
        <f t="shared" si="9"/>
        <v>70027.234751175347</v>
      </c>
      <c r="I132" s="344">
        <f t="shared" si="14"/>
        <v>70027.234751175347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330427.5</v>
      </c>
      <c r="E133" s="164">
        <f t="shared" si="16"/>
        <v>26435</v>
      </c>
      <c r="F133" s="163">
        <f t="shared" si="17"/>
        <v>303992.5</v>
      </c>
      <c r="G133" s="163">
        <f t="shared" si="18"/>
        <v>317210</v>
      </c>
      <c r="H133" s="333">
        <f t="shared" si="9"/>
        <v>66673.888345299172</v>
      </c>
      <c r="I133" s="344">
        <f t="shared" si="14"/>
        <v>66673.888345299172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303992.5</v>
      </c>
      <c r="E134" s="164">
        <f t="shared" si="16"/>
        <v>26435</v>
      </c>
      <c r="F134" s="163">
        <f t="shared" si="17"/>
        <v>277557.5</v>
      </c>
      <c r="G134" s="163">
        <f t="shared" si="18"/>
        <v>290775</v>
      </c>
      <c r="H134" s="333">
        <f t="shared" si="9"/>
        <v>63320.541939422983</v>
      </c>
      <c r="I134" s="344">
        <f t="shared" si="14"/>
        <v>63320.541939422983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277557.5</v>
      </c>
      <c r="E135" s="164">
        <f t="shared" si="16"/>
        <v>26435</v>
      </c>
      <c r="F135" s="163">
        <f t="shared" si="17"/>
        <v>251122.5</v>
      </c>
      <c r="G135" s="163">
        <f t="shared" si="18"/>
        <v>264340</v>
      </c>
      <c r="H135" s="333">
        <f t="shared" si="9"/>
        <v>59967.195533546801</v>
      </c>
      <c r="I135" s="344">
        <f t="shared" si="14"/>
        <v>59967.195533546801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251122.5</v>
      </c>
      <c r="E136" s="164">
        <f t="shared" si="16"/>
        <v>26435</v>
      </c>
      <c r="F136" s="163">
        <f t="shared" si="17"/>
        <v>224687.5</v>
      </c>
      <c r="G136" s="163">
        <f t="shared" si="18"/>
        <v>237905</v>
      </c>
      <c r="H136" s="333">
        <f t="shared" si="9"/>
        <v>56613.849127670619</v>
      </c>
      <c r="I136" s="344">
        <f t="shared" si="14"/>
        <v>56613.849127670619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224687.5</v>
      </c>
      <c r="E137" s="164">
        <f t="shared" si="16"/>
        <v>26435</v>
      </c>
      <c r="F137" s="163">
        <f t="shared" si="17"/>
        <v>198252.5</v>
      </c>
      <c r="G137" s="163">
        <f t="shared" si="18"/>
        <v>211470</v>
      </c>
      <c r="H137" s="333">
        <f t="shared" si="9"/>
        <v>53260.502721794444</v>
      </c>
      <c r="I137" s="344">
        <f t="shared" si="14"/>
        <v>53260.502721794444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198252.5</v>
      </c>
      <c r="E138" s="164">
        <f t="shared" si="16"/>
        <v>26435</v>
      </c>
      <c r="F138" s="163">
        <f t="shared" si="17"/>
        <v>171817.5</v>
      </c>
      <c r="G138" s="163">
        <f t="shared" si="18"/>
        <v>185035</v>
      </c>
      <c r="H138" s="333">
        <f t="shared" si="9"/>
        <v>49907.156315918255</v>
      </c>
      <c r="I138" s="344">
        <f t="shared" si="14"/>
        <v>49907.156315918255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171817.5</v>
      </c>
      <c r="E139" s="164">
        <f t="shared" si="16"/>
        <v>26435</v>
      </c>
      <c r="F139" s="163">
        <f t="shared" si="17"/>
        <v>145382.5</v>
      </c>
      <c r="G139" s="163">
        <f t="shared" si="18"/>
        <v>158600</v>
      </c>
      <c r="H139" s="333">
        <f t="shared" si="9"/>
        <v>46553.80991004208</v>
      </c>
      <c r="I139" s="344">
        <f t="shared" si="14"/>
        <v>46553.80991004208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145382.5</v>
      </c>
      <c r="E140" s="164">
        <f t="shared" si="16"/>
        <v>26435</v>
      </c>
      <c r="F140" s="163">
        <f t="shared" si="17"/>
        <v>118947.5</v>
      </c>
      <c r="G140" s="163">
        <f t="shared" si="18"/>
        <v>132165</v>
      </c>
      <c r="H140" s="333">
        <f t="shared" si="9"/>
        <v>43200.463504165891</v>
      </c>
      <c r="I140" s="344">
        <f t="shared" si="14"/>
        <v>43200.463504165891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118947.5</v>
      </c>
      <c r="E141" s="164">
        <f t="shared" si="16"/>
        <v>26435</v>
      </c>
      <c r="F141" s="163">
        <f t="shared" si="17"/>
        <v>92512.5</v>
      </c>
      <c r="G141" s="163">
        <f t="shared" si="18"/>
        <v>105730</v>
      </c>
      <c r="H141" s="333">
        <f t="shared" si="9"/>
        <v>39847.117098289717</v>
      </c>
      <c r="I141" s="344">
        <f t="shared" si="14"/>
        <v>39847.117098289717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92512.5</v>
      </c>
      <c r="E142" s="164">
        <f t="shared" si="16"/>
        <v>26435</v>
      </c>
      <c r="F142" s="163">
        <f t="shared" si="17"/>
        <v>66077.5</v>
      </c>
      <c r="G142" s="163">
        <f t="shared" si="18"/>
        <v>79295</v>
      </c>
      <c r="H142" s="333">
        <f t="shared" si="9"/>
        <v>36493.770692413535</v>
      </c>
      <c r="I142" s="344">
        <f t="shared" si="14"/>
        <v>36493.770692413535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66077.5</v>
      </c>
      <c r="E143" s="164">
        <f t="shared" si="16"/>
        <v>26435</v>
      </c>
      <c r="F143" s="163">
        <f t="shared" si="17"/>
        <v>39642.5</v>
      </c>
      <c r="G143" s="163">
        <f t="shared" si="18"/>
        <v>52860</v>
      </c>
      <c r="H143" s="333">
        <f t="shared" si="9"/>
        <v>33140.424286537353</v>
      </c>
      <c r="I143" s="344">
        <f t="shared" si="14"/>
        <v>33140.424286537353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39642.5</v>
      </c>
      <c r="E144" s="164">
        <f t="shared" si="16"/>
        <v>26435</v>
      </c>
      <c r="F144" s="163">
        <f t="shared" si="17"/>
        <v>13207.5</v>
      </c>
      <c r="G144" s="163">
        <f t="shared" si="18"/>
        <v>26425</v>
      </c>
      <c r="H144" s="333">
        <f t="shared" si="9"/>
        <v>29787.077880661171</v>
      </c>
      <c r="I144" s="344">
        <f t="shared" si="14"/>
        <v>29787.077880661171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13207.5</v>
      </c>
      <c r="E145" s="164">
        <f t="shared" si="16"/>
        <v>13207.5</v>
      </c>
      <c r="F145" s="163">
        <f t="shared" si="17"/>
        <v>0</v>
      </c>
      <c r="G145" s="163">
        <f t="shared" si="18"/>
        <v>6603.75</v>
      </c>
      <c r="H145" s="333">
        <f t="shared" si="9"/>
        <v>14045.202338861542</v>
      </c>
      <c r="I145" s="344">
        <f t="shared" si="14"/>
        <v>14045.202338861542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1216000</v>
      </c>
      <c r="F155" s="115"/>
      <c r="G155" s="115"/>
      <c r="H155" s="115">
        <f>SUM(H99:H154)</f>
        <v>4763782.1452571088</v>
      </c>
      <c r="I155" s="115">
        <f>SUM(I99:I154)</f>
        <v>4763782.1452571088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7" priority="1" stopIfTrue="1" operator="equal">
      <formula>$I$10</formula>
    </cfRule>
  </conditionalFormatting>
  <conditionalFormatting sqref="C99:C154">
    <cfRule type="cellIs" dxfId="6" priority="2" stopIfTrue="1" operator="equal">
      <formula>$J$92</formula>
    </cfRule>
  </conditionalFormatting>
  <pageMargins left="0.5" right="0.25" top="1" bottom="0.25" header="0.25" footer="0.5"/>
  <pageSetup scale="47" orientation="landscape" r:id="rId1"/>
  <rowBreaks count="1" manualBreakCount="1">
    <brk id="82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64" zoomScale="70" zoomScaleNormal="70" workbookViewId="0">
      <selection activeCell="A83" sqref="A83:XFD83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26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289443.44836681819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289443.44836681819</v>
      </c>
      <c r="O6" s="1"/>
      <c r="P6" s="1"/>
    </row>
    <row r="7" spans="1:16" ht="13.5" thickBot="1">
      <c r="C7" s="127" t="s">
        <v>41</v>
      </c>
      <c r="D7" s="227" t="s">
        <v>338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339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5024000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2019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125600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2019</v>
      </c>
      <c r="D17" s="484">
        <v>0</v>
      </c>
      <c r="E17" s="485">
        <v>0</v>
      </c>
      <c r="F17" s="163">
        <f>IF(D11=C17,+D10-E17,+D17-E17)</f>
        <v>5024000</v>
      </c>
      <c r="G17" s="159">
        <f>(D17+F17)/2*I$12+E17</f>
        <v>289443.44836681819</v>
      </c>
      <c r="H17" s="147">
        <f>+(D17+F17)/2*I$13+E17</f>
        <v>289443.44836681819</v>
      </c>
      <c r="I17" s="160">
        <f t="shared" ref="I17:I72" si="0">H17-G17</f>
        <v>0</v>
      </c>
      <c r="J17" s="160"/>
      <c r="K17" s="337">
        <v>0</v>
      </c>
      <c r="L17" s="161">
        <f t="shared" ref="L17:L72" si="1">IF(K17&lt;&gt;0,+G17-K17,0)</f>
        <v>0</v>
      </c>
      <c r="M17" s="337">
        <v>0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2020</v>
      </c>
      <c r="D18" s="166">
        <f>IF(F17+SUM(E$17:E17)=D$10,F17,D$10-SUM(E$17:E17))</f>
        <v>5024000</v>
      </c>
      <c r="E18" s="164">
        <f t="shared" ref="E18:E72" si="4">IF(+I$14&lt;F17,I$14,D18)</f>
        <v>125600</v>
      </c>
      <c r="F18" s="163">
        <f t="shared" ref="F18:F72" si="5">+D18-E18</f>
        <v>4898400</v>
      </c>
      <c r="G18" s="165">
        <f t="shared" ref="G18:G72" si="6">(D18+F18)/2*I$12+E18</f>
        <v>697250.81052446598</v>
      </c>
      <c r="H18" s="147">
        <f t="shared" ref="H18:H72" si="7">+(D18+F18)/2*I$13+E18</f>
        <v>697250.81052446598</v>
      </c>
      <c r="I18" s="160">
        <f t="shared" si="0"/>
        <v>0</v>
      </c>
      <c r="J18" s="160"/>
      <c r="K18" s="335"/>
      <c r="L18" s="162">
        <f t="shared" si="1"/>
        <v>0</v>
      </c>
      <c r="M18" s="335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2021</v>
      </c>
      <c r="D19" s="166">
        <f>IF(F18+SUM(E$17:E18)=D$10,F18,D$10-SUM(E$17:E18))</f>
        <v>4898400</v>
      </c>
      <c r="E19" s="164">
        <f t="shared" si="4"/>
        <v>125600</v>
      </c>
      <c r="F19" s="163">
        <f t="shared" si="5"/>
        <v>4772800</v>
      </c>
      <c r="G19" s="165">
        <f t="shared" si="6"/>
        <v>682778.63810612506</v>
      </c>
      <c r="H19" s="147">
        <f t="shared" si="7"/>
        <v>682778.63810612506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2022</v>
      </c>
      <c r="D20" s="166">
        <f>IF(F19+SUM(E$17:E19)=D$10,F19,D$10-SUM(E$17:E19))</f>
        <v>4772800</v>
      </c>
      <c r="E20" s="164">
        <f t="shared" si="4"/>
        <v>125600</v>
      </c>
      <c r="F20" s="163">
        <f t="shared" si="5"/>
        <v>4647200</v>
      </c>
      <c r="G20" s="165">
        <f t="shared" si="6"/>
        <v>668306.46568778413</v>
      </c>
      <c r="H20" s="147">
        <f t="shared" si="7"/>
        <v>668306.46568778413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2023</v>
      </c>
      <c r="D21" s="166">
        <f>IF(F20+SUM(E$17:E20)=D$10,F20,D$10-SUM(E$17:E20))</f>
        <v>4647200</v>
      </c>
      <c r="E21" s="164">
        <f t="shared" si="4"/>
        <v>125600</v>
      </c>
      <c r="F21" s="163">
        <f t="shared" si="5"/>
        <v>4521600</v>
      </c>
      <c r="G21" s="165">
        <f t="shared" si="6"/>
        <v>653834.29326944321</v>
      </c>
      <c r="H21" s="147">
        <f t="shared" si="7"/>
        <v>653834.29326944321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2024</v>
      </c>
      <c r="D22" s="166">
        <f>IF(F21+SUM(E$17:E21)=D$10,F21,D$10-SUM(E$17:E21))</f>
        <v>4521600</v>
      </c>
      <c r="E22" s="164">
        <f t="shared" si="4"/>
        <v>125600</v>
      </c>
      <c r="F22" s="163">
        <f t="shared" si="5"/>
        <v>4396000</v>
      </c>
      <c r="G22" s="165">
        <f t="shared" si="6"/>
        <v>639362.12085110229</v>
      </c>
      <c r="H22" s="147">
        <f t="shared" si="7"/>
        <v>639362.12085110229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2025</v>
      </c>
      <c r="D23" s="166">
        <f>IF(F22+SUM(E$17:E22)=D$10,F22,D$10-SUM(E$17:E22))</f>
        <v>4396000</v>
      </c>
      <c r="E23" s="164">
        <f t="shared" si="4"/>
        <v>125600</v>
      </c>
      <c r="F23" s="163">
        <f t="shared" si="5"/>
        <v>4270400</v>
      </c>
      <c r="G23" s="165">
        <f t="shared" si="6"/>
        <v>624889.94843276148</v>
      </c>
      <c r="H23" s="147">
        <f t="shared" si="7"/>
        <v>624889.94843276148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2026</v>
      </c>
      <c r="D24" s="166">
        <f>IF(F23+SUM(E$17:E23)=D$10,F23,D$10-SUM(E$17:E23))</f>
        <v>4270400</v>
      </c>
      <c r="E24" s="164">
        <f t="shared" si="4"/>
        <v>125600</v>
      </c>
      <c r="F24" s="163">
        <f t="shared" si="5"/>
        <v>4144800</v>
      </c>
      <c r="G24" s="165">
        <f t="shared" si="6"/>
        <v>610417.77601442044</v>
      </c>
      <c r="H24" s="147">
        <f t="shared" si="7"/>
        <v>610417.77601442044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2027</v>
      </c>
      <c r="D25" s="166">
        <f>IF(F24+SUM(E$17:E24)=D$10,F24,D$10-SUM(E$17:E24))</f>
        <v>4144800</v>
      </c>
      <c r="E25" s="164">
        <f t="shared" si="4"/>
        <v>125600</v>
      </c>
      <c r="F25" s="163">
        <f t="shared" si="5"/>
        <v>4019200</v>
      </c>
      <c r="G25" s="165">
        <f t="shared" si="6"/>
        <v>595945.60359607963</v>
      </c>
      <c r="H25" s="147">
        <f t="shared" si="7"/>
        <v>595945.60359607963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2028</v>
      </c>
      <c r="D26" s="166">
        <f>IF(F25+SUM(E$17:E25)=D$10,F25,D$10-SUM(E$17:E25))</f>
        <v>4019200</v>
      </c>
      <c r="E26" s="164">
        <f t="shared" si="4"/>
        <v>125600</v>
      </c>
      <c r="F26" s="163">
        <f t="shared" si="5"/>
        <v>3893600</v>
      </c>
      <c r="G26" s="165">
        <f t="shared" si="6"/>
        <v>581473.4311777387</v>
      </c>
      <c r="H26" s="147">
        <f t="shared" si="7"/>
        <v>581473.4311777387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2029</v>
      </c>
      <c r="D27" s="166">
        <f>IF(F26+SUM(E$17:E26)=D$10,F26,D$10-SUM(E$17:E26))</f>
        <v>3893600</v>
      </c>
      <c r="E27" s="164">
        <f t="shared" si="4"/>
        <v>125600</v>
      </c>
      <c r="F27" s="163">
        <f t="shared" si="5"/>
        <v>3768000</v>
      </c>
      <c r="G27" s="165">
        <f t="shared" si="6"/>
        <v>567001.25875939778</v>
      </c>
      <c r="H27" s="147">
        <f t="shared" si="7"/>
        <v>567001.25875939778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2030</v>
      </c>
      <c r="D28" s="166">
        <f>IF(F27+SUM(E$17:E27)=D$10,F27,D$10-SUM(E$17:E27))</f>
        <v>3768000</v>
      </c>
      <c r="E28" s="164">
        <f t="shared" si="4"/>
        <v>125600</v>
      </c>
      <c r="F28" s="163">
        <f t="shared" si="5"/>
        <v>3642400</v>
      </c>
      <c r="G28" s="165">
        <f t="shared" si="6"/>
        <v>552529.08634105686</v>
      </c>
      <c r="H28" s="147">
        <f t="shared" si="7"/>
        <v>552529.08634105686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2031</v>
      </c>
      <c r="D29" s="166">
        <f>IF(F28+SUM(E$17:E28)=D$10,F28,D$10-SUM(E$17:E28))</f>
        <v>3642400</v>
      </c>
      <c r="E29" s="164">
        <f t="shared" si="4"/>
        <v>125600</v>
      </c>
      <c r="F29" s="163">
        <f t="shared" si="5"/>
        <v>3516800</v>
      </c>
      <c r="G29" s="165">
        <f t="shared" si="6"/>
        <v>538056.91392271593</v>
      </c>
      <c r="H29" s="147">
        <f t="shared" si="7"/>
        <v>538056.91392271593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2032</v>
      </c>
      <c r="D30" s="166">
        <f>IF(F29+SUM(E$17:E29)=D$10,F29,D$10-SUM(E$17:E29))</f>
        <v>3516800</v>
      </c>
      <c r="E30" s="164">
        <f t="shared" si="4"/>
        <v>125600</v>
      </c>
      <c r="F30" s="163">
        <f t="shared" si="5"/>
        <v>3391200</v>
      </c>
      <c r="G30" s="165">
        <f t="shared" si="6"/>
        <v>523584.74150437507</v>
      </c>
      <c r="H30" s="147">
        <f t="shared" si="7"/>
        <v>523584.74150437507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2033</v>
      </c>
      <c r="D31" s="166">
        <f>IF(F30+SUM(E$17:E30)=D$10,F30,D$10-SUM(E$17:E30))</f>
        <v>3391200</v>
      </c>
      <c r="E31" s="164">
        <f t="shared" si="4"/>
        <v>125600</v>
      </c>
      <c r="F31" s="163">
        <f t="shared" si="5"/>
        <v>3265600</v>
      </c>
      <c r="G31" s="165">
        <f t="shared" si="6"/>
        <v>509112.56908603414</v>
      </c>
      <c r="H31" s="147">
        <f t="shared" si="7"/>
        <v>509112.56908603414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2034</v>
      </c>
      <c r="D32" s="166">
        <f>IF(F31+SUM(E$17:E31)=D$10,F31,D$10-SUM(E$17:E31))</f>
        <v>3265600</v>
      </c>
      <c r="E32" s="164">
        <f t="shared" si="4"/>
        <v>125600</v>
      </c>
      <c r="F32" s="163">
        <f t="shared" si="5"/>
        <v>3140000</v>
      </c>
      <c r="G32" s="165">
        <f t="shared" si="6"/>
        <v>494640.39666769322</v>
      </c>
      <c r="H32" s="147">
        <f t="shared" si="7"/>
        <v>494640.39666769322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2035</v>
      </c>
      <c r="D33" s="166">
        <f>IF(F32+SUM(E$17:E32)=D$10,F32,D$10-SUM(E$17:E32))</f>
        <v>3140000</v>
      </c>
      <c r="E33" s="164">
        <f t="shared" si="4"/>
        <v>125600</v>
      </c>
      <c r="F33" s="163">
        <f t="shared" si="5"/>
        <v>3014400</v>
      </c>
      <c r="G33" s="165">
        <f t="shared" si="6"/>
        <v>480168.22424935229</v>
      </c>
      <c r="H33" s="147">
        <f t="shared" si="7"/>
        <v>480168.22424935229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2036</v>
      </c>
      <c r="D34" s="166">
        <f>IF(F33+SUM(E$17:E33)=D$10,F33,D$10-SUM(E$17:E33))</f>
        <v>3014400</v>
      </c>
      <c r="E34" s="164">
        <f t="shared" si="4"/>
        <v>125600</v>
      </c>
      <c r="F34" s="163">
        <f t="shared" si="5"/>
        <v>2888800</v>
      </c>
      <c r="G34" s="165">
        <f t="shared" si="6"/>
        <v>465696.05183101143</v>
      </c>
      <c r="H34" s="147">
        <f t="shared" si="7"/>
        <v>465696.05183101143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2037</v>
      </c>
      <c r="D35" s="166">
        <f>IF(F34+SUM(E$17:E34)=D$10,F34,D$10-SUM(E$17:E34))</f>
        <v>2888800</v>
      </c>
      <c r="E35" s="164">
        <f t="shared" si="4"/>
        <v>125600</v>
      </c>
      <c r="F35" s="163">
        <f t="shared" si="5"/>
        <v>2763200</v>
      </c>
      <c r="G35" s="165">
        <f t="shared" si="6"/>
        <v>451223.8794126705</v>
      </c>
      <c r="H35" s="147">
        <f t="shared" si="7"/>
        <v>451223.8794126705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2038</v>
      </c>
      <c r="D36" s="166">
        <f>IF(F35+SUM(E$17:E35)=D$10,F35,D$10-SUM(E$17:E35))</f>
        <v>2763200</v>
      </c>
      <c r="E36" s="164">
        <f t="shared" si="4"/>
        <v>125600</v>
      </c>
      <c r="F36" s="163">
        <f t="shared" si="5"/>
        <v>2637600</v>
      </c>
      <c r="G36" s="165">
        <f t="shared" si="6"/>
        <v>436751.70699432958</v>
      </c>
      <c r="H36" s="147">
        <f t="shared" si="7"/>
        <v>436751.70699432958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2039</v>
      </c>
      <c r="D37" s="166">
        <f>IF(F36+SUM(E$17:E36)=D$10,F36,D$10-SUM(E$17:E36))</f>
        <v>2637600</v>
      </c>
      <c r="E37" s="164">
        <f t="shared" si="4"/>
        <v>125600</v>
      </c>
      <c r="F37" s="163">
        <f t="shared" si="5"/>
        <v>2512000</v>
      </c>
      <c r="G37" s="165">
        <f t="shared" si="6"/>
        <v>422279.53457598865</v>
      </c>
      <c r="H37" s="147">
        <f t="shared" si="7"/>
        <v>422279.53457598865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2040</v>
      </c>
      <c r="D38" s="166">
        <f>IF(F37+SUM(E$17:E37)=D$10,F37,D$10-SUM(E$17:E37))</f>
        <v>2512000</v>
      </c>
      <c r="E38" s="164">
        <f t="shared" si="4"/>
        <v>125600</v>
      </c>
      <c r="F38" s="163">
        <f t="shared" si="5"/>
        <v>2386400</v>
      </c>
      <c r="G38" s="165">
        <f t="shared" si="6"/>
        <v>407807.36215764779</v>
      </c>
      <c r="H38" s="147">
        <f t="shared" si="7"/>
        <v>407807.36215764779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2041</v>
      </c>
      <c r="D39" s="166">
        <f>IF(F38+SUM(E$17:E38)=D$10,F38,D$10-SUM(E$17:E38))</f>
        <v>2386400</v>
      </c>
      <c r="E39" s="164">
        <f t="shared" si="4"/>
        <v>125600</v>
      </c>
      <c r="F39" s="163">
        <f t="shared" si="5"/>
        <v>2260800</v>
      </c>
      <c r="G39" s="165">
        <f t="shared" si="6"/>
        <v>393335.18973930686</v>
      </c>
      <c r="H39" s="147">
        <f t="shared" si="7"/>
        <v>393335.18973930686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2042</v>
      </c>
      <c r="D40" s="166">
        <f>IF(F39+SUM(E$17:E39)=D$10,F39,D$10-SUM(E$17:E39))</f>
        <v>2260800</v>
      </c>
      <c r="E40" s="164">
        <f t="shared" si="4"/>
        <v>125600</v>
      </c>
      <c r="F40" s="163">
        <f t="shared" si="5"/>
        <v>2135200</v>
      </c>
      <c r="G40" s="165">
        <f t="shared" si="6"/>
        <v>378863.01732096594</v>
      </c>
      <c r="H40" s="147">
        <f t="shared" si="7"/>
        <v>378863.01732096594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2043</v>
      </c>
      <c r="D41" s="166">
        <f>IF(F40+SUM(E$17:E40)=D$10,F40,D$10-SUM(E$17:E40))</f>
        <v>2135200</v>
      </c>
      <c r="E41" s="164">
        <f t="shared" si="4"/>
        <v>125600</v>
      </c>
      <c r="F41" s="163">
        <f t="shared" si="5"/>
        <v>2009600</v>
      </c>
      <c r="G41" s="165">
        <f t="shared" si="6"/>
        <v>364390.84490262507</v>
      </c>
      <c r="H41" s="147">
        <f t="shared" si="7"/>
        <v>364390.84490262507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2044</v>
      </c>
      <c r="D42" s="166">
        <f>IF(F41+SUM(E$17:E41)=D$10,F41,D$10-SUM(E$17:E41))</f>
        <v>2009600</v>
      </c>
      <c r="E42" s="164">
        <f t="shared" si="4"/>
        <v>125600</v>
      </c>
      <c r="F42" s="163">
        <f t="shared" si="5"/>
        <v>1884000</v>
      </c>
      <c r="G42" s="165">
        <f t="shared" si="6"/>
        <v>349918.67248428415</v>
      </c>
      <c r="H42" s="147">
        <f t="shared" si="7"/>
        <v>349918.67248428415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2045</v>
      </c>
      <c r="D43" s="166">
        <f>IF(F42+SUM(E$17:E42)=D$10,F42,D$10-SUM(E$17:E42))</f>
        <v>1884000</v>
      </c>
      <c r="E43" s="164">
        <f t="shared" si="4"/>
        <v>125600</v>
      </c>
      <c r="F43" s="163">
        <f t="shared" si="5"/>
        <v>1758400</v>
      </c>
      <c r="G43" s="165">
        <f t="shared" si="6"/>
        <v>335446.50006594323</v>
      </c>
      <c r="H43" s="147">
        <f t="shared" si="7"/>
        <v>335446.50006594323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2046</v>
      </c>
      <c r="D44" s="166">
        <f>IF(F43+SUM(E$17:E43)=D$10,F43,D$10-SUM(E$17:E43))</f>
        <v>1758400</v>
      </c>
      <c r="E44" s="164">
        <f t="shared" si="4"/>
        <v>125600</v>
      </c>
      <c r="F44" s="163">
        <f t="shared" si="5"/>
        <v>1632800</v>
      </c>
      <c r="G44" s="165">
        <f t="shared" si="6"/>
        <v>320974.3276476023</v>
      </c>
      <c r="H44" s="147">
        <f t="shared" si="7"/>
        <v>320974.3276476023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2047</v>
      </c>
      <c r="D45" s="166">
        <f>IF(F44+SUM(E$17:E44)=D$10,F44,D$10-SUM(E$17:E44))</f>
        <v>1632800</v>
      </c>
      <c r="E45" s="164">
        <f t="shared" si="4"/>
        <v>125600</v>
      </c>
      <c r="F45" s="163">
        <f t="shared" si="5"/>
        <v>1507200</v>
      </c>
      <c r="G45" s="165">
        <f t="shared" si="6"/>
        <v>306502.15522926138</v>
      </c>
      <c r="H45" s="147">
        <f t="shared" si="7"/>
        <v>306502.15522926138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2048</v>
      </c>
      <c r="D46" s="166">
        <f>IF(F45+SUM(E$17:E45)=D$10,F45,D$10-SUM(E$17:E45))</f>
        <v>1507200</v>
      </c>
      <c r="E46" s="164">
        <f t="shared" si="4"/>
        <v>125600</v>
      </c>
      <c r="F46" s="163">
        <f t="shared" si="5"/>
        <v>1381600</v>
      </c>
      <c r="G46" s="165">
        <f t="shared" si="6"/>
        <v>292029.98281092045</v>
      </c>
      <c r="H46" s="147">
        <f t="shared" si="7"/>
        <v>292029.98281092045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2049</v>
      </c>
      <c r="D47" s="166">
        <f>IF(F46+SUM(E$17:E46)=D$10,F46,D$10-SUM(E$17:E46))</f>
        <v>1381600</v>
      </c>
      <c r="E47" s="164">
        <f t="shared" si="4"/>
        <v>125600</v>
      </c>
      <c r="F47" s="163">
        <f t="shared" si="5"/>
        <v>1256000</v>
      </c>
      <c r="G47" s="165">
        <f t="shared" si="6"/>
        <v>277557.81039257953</v>
      </c>
      <c r="H47" s="147">
        <f t="shared" si="7"/>
        <v>277557.81039257953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2050</v>
      </c>
      <c r="D48" s="166">
        <f>IF(F47+SUM(E$17:E47)=D$10,F47,D$10-SUM(E$17:E47))</f>
        <v>1256000</v>
      </c>
      <c r="E48" s="164">
        <f t="shared" si="4"/>
        <v>125600</v>
      </c>
      <c r="F48" s="163">
        <f t="shared" si="5"/>
        <v>1130400</v>
      </c>
      <c r="G48" s="165">
        <f t="shared" si="6"/>
        <v>263085.63797423866</v>
      </c>
      <c r="H48" s="147">
        <f t="shared" si="7"/>
        <v>263085.63797423866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2051</v>
      </c>
      <c r="D49" s="166">
        <f>IF(F48+SUM(E$17:E48)=D$10,F48,D$10-SUM(E$17:E48))</f>
        <v>1130400</v>
      </c>
      <c r="E49" s="164">
        <f t="shared" si="4"/>
        <v>125600</v>
      </c>
      <c r="F49" s="163">
        <f t="shared" si="5"/>
        <v>1004800</v>
      </c>
      <c r="G49" s="165">
        <f t="shared" si="6"/>
        <v>248613.46555589774</v>
      </c>
      <c r="H49" s="147">
        <f t="shared" si="7"/>
        <v>248613.46555589774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2052</v>
      </c>
      <c r="D50" s="166">
        <f>IF(F49+SUM(E$17:E49)=D$10,F49,D$10-SUM(E$17:E49))</f>
        <v>1004800</v>
      </c>
      <c r="E50" s="164">
        <f t="shared" si="4"/>
        <v>125600</v>
      </c>
      <c r="F50" s="163">
        <f t="shared" si="5"/>
        <v>879200</v>
      </c>
      <c r="G50" s="165">
        <f t="shared" si="6"/>
        <v>234141.29313755682</v>
      </c>
      <c r="H50" s="147">
        <f t="shared" si="7"/>
        <v>234141.29313755682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2053</v>
      </c>
      <c r="D51" s="166">
        <f>IF(F50+SUM(E$17:E50)=D$10,F50,D$10-SUM(E$17:E50))</f>
        <v>879200</v>
      </c>
      <c r="E51" s="164">
        <f t="shared" si="4"/>
        <v>125600</v>
      </c>
      <c r="F51" s="163">
        <f t="shared" si="5"/>
        <v>753600</v>
      </c>
      <c r="G51" s="165">
        <f t="shared" si="6"/>
        <v>219669.12071921592</v>
      </c>
      <c r="H51" s="147">
        <f t="shared" si="7"/>
        <v>219669.12071921592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2054</v>
      </c>
      <c r="D52" s="166">
        <f>IF(F51+SUM(E$17:E51)=D$10,F51,D$10-SUM(E$17:E51))</f>
        <v>753600</v>
      </c>
      <c r="E52" s="164">
        <f t="shared" si="4"/>
        <v>125600</v>
      </c>
      <c r="F52" s="163">
        <f t="shared" si="5"/>
        <v>628000</v>
      </c>
      <c r="G52" s="165">
        <f t="shared" si="6"/>
        <v>205196.94830087502</v>
      </c>
      <c r="H52" s="147">
        <f t="shared" si="7"/>
        <v>205196.94830087502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2055</v>
      </c>
      <c r="D53" s="166">
        <f>IF(F52+SUM(E$17:E52)=D$10,F52,D$10-SUM(E$17:E52))</f>
        <v>628000</v>
      </c>
      <c r="E53" s="164">
        <f t="shared" si="4"/>
        <v>125600</v>
      </c>
      <c r="F53" s="163">
        <f t="shared" si="5"/>
        <v>502400</v>
      </c>
      <c r="G53" s="165">
        <f t="shared" si="6"/>
        <v>190724.7758825341</v>
      </c>
      <c r="H53" s="147">
        <f t="shared" si="7"/>
        <v>190724.7758825341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2056</v>
      </c>
      <c r="D54" s="166">
        <f>IF(F53+SUM(E$17:E53)=D$10,F53,D$10-SUM(E$17:E53))</f>
        <v>502400</v>
      </c>
      <c r="E54" s="164">
        <f t="shared" si="4"/>
        <v>125600</v>
      </c>
      <c r="F54" s="163">
        <f t="shared" si="5"/>
        <v>376800</v>
      </c>
      <c r="G54" s="165">
        <f t="shared" si="6"/>
        <v>176252.60346419318</v>
      </c>
      <c r="H54" s="147">
        <f t="shared" si="7"/>
        <v>176252.60346419318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2057</v>
      </c>
      <c r="D55" s="166">
        <f>IF(F54+SUM(E$17:E54)=D$10,F54,D$10-SUM(E$17:E54))</f>
        <v>376800</v>
      </c>
      <c r="E55" s="164">
        <f t="shared" si="4"/>
        <v>125600</v>
      </c>
      <c r="F55" s="163">
        <f t="shared" si="5"/>
        <v>251200</v>
      </c>
      <c r="G55" s="165">
        <f t="shared" si="6"/>
        <v>161780.43104585228</v>
      </c>
      <c r="H55" s="147">
        <f t="shared" si="7"/>
        <v>161780.43104585228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2058</v>
      </c>
      <c r="D56" s="166">
        <f>IF(F55+SUM(E$17:E55)=D$10,F55,D$10-SUM(E$17:E55))</f>
        <v>251200</v>
      </c>
      <c r="E56" s="164">
        <f t="shared" si="4"/>
        <v>125600</v>
      </c>
      <c r="F56" s="163">
        <f t="shared" si="5"/>
        <v>125600</v>
      </c>
      <c r="G56" s="165">
        <f t="shared" si="6"/>
        <v>147308.25862751136</v>
      </c>
      <c r="H56" s="147">
        <f t="shared" si="7"/>
        <v>147308.25862751136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2059</v>
      </c>
      <c r="D57" s="166">
        <f>IF(F56+SUM(E$17:E56)=D$10,F56,D$10-SUM(E$17:E56))</f>
        <v>125600</v>
      </c>
      <c r="E57" s="164">
        <f t="shared" si="4"/>
        <v>125600</v>
      </c>
      <c r="F57" s="163">
        <f t="shared" si="5"/>
        <v>0</v>
      </c>
      <c r="G57" s="165">
        <f t="shared" si="6"/>
        <v>132836.08620917046</v>
      </c>
      <c r="H57" s="147">
        <f t="shared" si="7"/>
        <v>132836.08620917046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2060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2061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2062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2063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2064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2065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2066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2067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2068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2069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2070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2071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2072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2073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2074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5024000</v>
      </c>
      <c r="F73" s="115"/>
      <c r="G73" s="115">
        <f>SUM(G17:G72)</f>
        <v>16891181.383039545</v>
      </c>
      <c r="H73" s="115">
        <f>SUM(H17:H72)</f>
        <v>16891181.383039545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26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Tulsa Southeast - E. 61st St 138 kV Rebuild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 t="str">
        <f>IF(D11=I10,"",D11)</f>
        <v/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 t="str">
        <f>IF(D11=I10,"",D12)</f>
        <v/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51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 t="str">
        <f>IF(D93= "","-",D93)</f>
        <v>-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 t="shared" ref="H99:H154" si="9">+J$94*G99+E99</f>
        <v>0</v>
      </c>
      <c r="I99" s="218">
        <f>+J$95*G99+E99</f>
        <v>0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 t="str">
        <f>IF(D93="","-",+C99+1)</f>
        <v>-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33">
        <f t="shared" si="9"/>
        <v>0</v>
      </c>
      <c r="I100" s="344">
        <f t="shared" ref="I100:I154" si="14">+J$95*G100+E100</f>
        <v>0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 t="str">
        <f>IF(D93="","-",+C100+1)</f>
        <v>-</v>
      </c>
      <c r="D101" s="158">
        <f>IF(F100+SUM(E$99:E100)=D$92,F100,D$92-SUM(E$99:E100))</f>
        <v>0</v>
      </c>
      <c r="E101" s="164">
        <f t="shared" ref="E101:E154" si="16">IF(+J$96&lt;F100,J$96,D101)</f>
        <v>0</v>
      </c>
      <c r="F101" s="163">
        <f t="shared" ref="F101:F154" si="17">+D101-E101</f>
        <v>0</v>
      </c>
      <c r="G101" s="163">
        <f t="shared" ref="G101:G154" si="18">+(F101+D101)/2</f>
        <v>0</v>
      </c>
      <c r="H101" s="333">
        <f t="shared" si="9"/>
        <v>0</v>
      </c>
      <c r="I101" s="344">
        <f t="shared" si="14"/>
        <v>0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 t="str">
        <f>IF(D93="","-",+C101+1)</f>
        <v>-</v>
      </c>
      <c r="D102" s="158">
        <f>IF(F101+SUM(E$99:E101)=D$92,F101,D$92-SUM(E$99:E101))</f>
        <v>0</v>
      </c>
      <c r="E102" s="164">
        <f t="shared" si="16"/>
        <v>0</v>
      </c>
      <c r="F102" s="163">
        <f t="shared" si="17"/>
        <v>0</v>
      </c>
      <c r="G102" s="163">
        <f t="shared" si="18"/>
        <v>0</v>
      </c>
      <c r="H102" s="333">
        <f t="shared" si="9"/>
        <v>0</v>
      </c>
      <c r="I102" s="344">
        <f t="shared" si="14"/>
        <v>0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 t="str">
        <f>IF(D93="","-",+C102+1)</f>
        <v>-</v>
      </c>
      <c r="D103" s="158">
        <f>IF(F102+SUM(E$99:E102)=D$92,F102,D$92-SUM(E$99:E102))</f>
        <v>0</v>
      </c>
      <c r="E103" s="164">
        <f t="shared" si="16"/>
        <v>0</v>
      </c>
      <c r="F103" s="163">
        <f t="shared" si="17"/>
        <v>0</v>
      </c>
      <c r="G103" s="163">
        <f t="shared" si="18"/>
        <v>0</v>
      </c>
      <c r="H103" s="333">
        <f t="shared" si="9"/>
        <v>0</v>
      </c>
      <c r="I103" s="344">
        <f t="shared" si="14"/>
        <v>0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 t="str">
        <f>IF(D93="","-",+C103+1)</f>
        <v>-</v>
      </c>
      <c r="D104" s="158">
        <f>IF(F103+SUM(E$99:E103)=D$92,F103,D$92-SUM(E$99:E103))</f>
        <v>0</v>
      </c>
      <c r="E104" s="164">
        <f t="shared" si="16"/>
        <v>0</v>
      </c>
      <c r="F104" s="163">
        <f t="shared" si="17"/>
        <v>0</v>
      </c>
      <c r="G104" s="163">
        <f t="shared" si="18"/>
        <v>0</v>
      </c>
      <c r="H104" s="333">
        <f t="shared" si="9"/>
        <v>0</v>
      </c>
      <c r="I104" s="344">
        <f t="shared" si="14"/>
        <v>0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 t="str">
        <f>IF(D93="","-",+C104+1)</f>
        <v>-</v>
      </c>
      <c r="D105" s="158">
        <f>IF(F104+SUM(E$99:E104)=D$92,F104,D$92-SUM(E$99:E104))</f>
        <v>0</v>
      </c>
      <c r="E105" s="164">
        <f t="shared" si="16"/>
        <v>0</v>
      </c>
      <c r="F105" s="163">
        <f t="shared" si="17"/>
        <v>0</v>
      </c>
      <c r="G105" s="163">
        <f t="shared" si="18"/>
        <v>0</v>
      </c>
      <c r="H105" s="333">
        <f t="shared" si="9"/>
        <v>0</v>
      </c>
      <c r="I105" s="344">
        <f t="shared" si="14"/>
        <v>0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 t="str">
        <f>IF(D93="","-",+C105+1)</f>
        <v>-</v>
      </c>
      <c r="D106" s="158">
        <f>IF(F105+SUM(E$99:E105)=D$92,F105,D$92-SUM(E$99:E105))</f>
        <v>0</v>
      </c>
      <c r="E106" s="164">
        <f t="shared" si="16"/>
        <v>0</v>
      </c>
      <c r="F106" s="163">
        <f t="shared" si="17"/>
        <v>0</v>
      </c>
      <c r="G106" s="163">
        <f t="shared" si="18"/>
        <v>0</v>
      </c>
      <c r="H106" s="333">
        <f t="shared" si="9"/>
        <v>0</v>
      </c>
      <c r="I106" s="344">
        <f t="shared" si="14"/>
        <v>0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 t="str">
        <f>IF(D93="","-",+C106+1)</f>
        <v>-</v>
      </c>
      <c r="D107" s="158">
        <f>IF(F106+SUM(E$99:E106)=D$92,F106,D$92-SUM(E$99:E106))</f>
        <v>0</v>
      </c>
      <c r="E107" s="164">
        <f t="shared" si="16"/>
        <v>0</v>
      </c>
      <c r="F107" s="163">
        <f t="shared" si="17"/>
        <v>0</v>
      </c>
      <c r="G107" s="163">
        <f t="shared" si="18"/>
        <v>0</v>
      </c>
      <c r="H107" s="333">
        <f t="shared" si="9"/>
        <v>0</v>
      </c>
      <c r="I107" s="344">
        <f t="shared" si="14"/>
        <v>0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 t="str">
        <f>IF(D93="","-",+C107+1)</f>
        <v>-</v>
      </c>
      <c r="D108" s="158">
        <f>IF(F107+SUM(E$99:E107)=D$92,F107,D$92-SUM(E$99:E107))</f>
        <v>0</v>
      </c>
      <c r="E108" s="164">
        <f t="shared" si="16"/>
        <v>0</v>
      </c>
      <c r="F108" s="163">
        <f t="shared" si="17"/>
        <v>0</v>
      </c>
      <c r="G108" s="163">
        <f t="shared" si="18"/>
        <v>0</v>
      </c>
      <c r="H108" s="333">
        <f t="shared" si="9"/>
        <v>0</v>
      </c>
      <c r="I108" s="344">
        <f t="shared" si="14"/>
        <v>0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 t="str">
        <f>IF(D93="","-",+C108+1)</f>
        <v>-</v>
      </c>
      <c r="D109" s="158">
        <f>IF(F108+SUM(E$99:E108)=D$92,F108,D$92-SUM(E$99:E108))</f>
        <v>0</v>
      </c>
      <c r="E109" s="164">
        <f t="shared" si="16"/>
        <v>0</v>
      </c>
      <c r="F109" s="163">
        <f t="shared" si="17"/>
        <v>0</v>
      </c>
      <c r="G109" s="163">
        <f t="shared" si="18"/>
        <v>0</v>
      </c>
      <c r="H109" s="333">
        <f t="shared" si="9"/>
        <v>0</v>
      </c>
      <c r="I109" s="344">
        <f t="shared" si="14"/>
        <v>0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 t="str">
        <f>IF(D93="","-",+C109+1)</f>
        <v>-</v>
      </c>
      <c r="D110" s="158">
        <f>IF(F109+SUM(E$99:E109)=D$92,F109,D$92-SUM(E$99:E109))</f>
        <v>0</v>
      </c>
      <c r="E110" s="164">
        <f t="shared" si="16"/>
        <v>0</v>
      </c>
      <c r="F110" s="163">
        <f t="shared" si="17"/>
        <v>0</v>
      </c>
      <c r="G110" s="163">
        <f t="shared" si="18"/>
        <v>0</v>
      </c>
      <c r="H110" s="333">
        <f t="shared" si="9"/>
        <v>0</v>
      </c>
      <c r="I110" s="344">
        <f t="shared" si="14"/>
        <v>0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 t="str">
        <f>IF(D93="","-",+C110+1)</f>
        <v>-</v>
      </c>
      <c r="D111" s="158">
        <f>IF(F110+SUM(E$99:E110)=D$92,F110,D$92-SUM(E$99:E110))</f>
        <v>0</v>
      </c>
      <c r="E111" s="164">
        <f t="shared" si="16"/>
        <v>0</v>
      </c>
      <c r="F111" s="163">
        <f t="shared" si="17"/>
        <v>0</v>
      </c>
      <c r="G111" s="163">
        <f t="shared" si="18"/>
        <v>0</v>
      </c>
      <c r="H111" s="333">
        <f t="shared" si="9"/>
        <v>0</v>
      </c>
      <c r="I111" s="344">
        <f t="shared" si="14"/>
        <v>0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 t="str">
        <f>IF(D93="","-",+C111+1)</f>
        <v>-</v>
      </c>
      <c r="D112" s="158">
        <f>IF(F111+SUM(E$99:E111)=D$92,F111,D$92-SUM(E$99:E111))</f>
        <v>0</v>
      </c>
      <c r="E112" s="164">
        <f t="shared" si="16"/>
        <v>0</v>
      </c>
      <c r="F112" s="163">
        <f t="shared" si="17"/>
        <v>0</v>
      </c>
      <c r="G112" s="163">
        <f t="shared" si="18"/>
        <v>0</v>
      </c>
      <c r="H112" s="333">
        <f t="shared" si="9"/>
        <v>0</v>
      </c>
      <c r="I112" s="344">
        <f t="shared" si="14"/>
        <v>0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 t="str">
        <f>IF(D93="","-",+C112+1)</f>
        <v>-</v>
      </c>
      <c r="D113" s="158">
        <f>IF(F112+SUM(E$99:E112)=D$92,F112,D$92-SUM(E$99:E112))</f>
        <v>0</v>
      </c>
      <c r="E113" s="164">
        <f t="shared" si="16"/>
        <v>0</v>
      </c>
      <c r="F113" s="163">
        <f t="shared" si="17"/>
        <v>0</v>
      </c>
      <c r="G113" s="163">
        <f t="shared" si="18"/>
        <v>0</v>
      </c>
      <c r="H113" s="333">
        <f t="shared" si="9"/>
        <v>0</v>
      </c>
      <c r="I113" s="344">
        <f t="shared" si="14"/>
        <v>0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 t="str">
        <f>IF(D93="","-",+C113+1)</f>
        <v>-</v>
      </c>
      <c r="D114" s="158">
        <f>IF(F113+SUM(E$99:E113)=D$92,F113,D$92-SUM(E$99:E113))</f>
        <v>0</v>
      </c>
      <c r="E114" s="164">
        <f t="shared" si="16"/>
        <v>0</v>
      </c>
      <c r="F114" s="163">
        <f t="shared" si="17"/>
        <v>0</v>
      </c>
      <c r="G114" s="163">
        <f t="shared" si="18"/>
        <v>0</v>
      </c>
      <c r="H114" s="333">
        <f t="shared" si="9"/>
        <v>0</v>
      </c>
      <c r="I114" s="344">
        <f t="shared" si="14"/>
        <v>0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 t="str">
        <f>IF(D93="","-",+C114+1)</f>
        <v>-</v>
      </c>
      <c r="D115" s="158">
        <f>IF(F114+SUM(E$99:E114)=D$92,F114,D$92-SUM(E$99:E114))</f>
        <v>0</v>
      </c>
      <c r="E115" s="164">
        <f t="shared" si="16"/>
        <v>0</v>
      </c>
      <c r="F115" s="163">
        <f t="shared" si="17"/>
        <v>0</v>
      </c>
      <c r="G115" s="163">
        <f t="shared" si="18"/>
        <v>0</v>
      </c>
      <c r="H115" s="333">
        <f t="shared" si="9"/>
        <v>0</v>
      </c>
      <c r="I115" s="344">
        <f t="shared" si="14"/>
        <v>0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 t="str">
        <f>IF(D93="","-",+C115+1)</f>
        <v>-</v>
      </c>
      <c r="D116" s="158">
        <f>IF(F115+SUM(E$99:E115)=D$92,F115,D$92-SUM(E$99:E115))</f>
        <v>0</v>
      </c>
      <c r="E116" s="164">
        <f t="shared" si="16"/>
        <v>0</v>
      </c>
      <c r="F116" s="163">
        <f t="shared" si="17"/>
        <v>0</v>
      </c>
      <c r="G116" s="163">
        <f t="shared" si="18"/>
        <v>0</v>
      </c>
      <c r="H116" s="333">
        <f t="shared" si="9"/>
        <v>0</v>
      </c>
      <c r="I116" s="344">
        <f t="shared" si="14"/>
        <v>0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 t="str">
        <f>IF(D93="","-",+C116+1)</f>
        <v>-</v>
      </c>
      <c r="D117" s="158">
        <f>IF(F116+SUM(E$99:E116)=D$92,F116,D$92-SUM(E$99:E116))</f>
        <v>0</v>
      </c>
      <c r="E117" s="164">
        <f t="shared" si="16"/>
        <v>0</v>
      </c>
      <c r="F117" s="163">
        <f t="shared" si="17"/>
        <v>0</v>
      </c>
      <c r="G117" s="163">
        <f t="shared" si="18"/>
        <v>0</v>
      </c>
      <c r="H117" s="333">
        <f t="shared" si="9"/>
        <v>0</v>
      </c>
      <c r="I117" s="344">
        <f t="shared" si="14"/>
        <v>0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 t="str">
        <f>IF(D93="","-",+C117+1)</f>
        <v>-</v>
      </c>
      <c r="D118" s="158">
        <f>IF(F117+SUM(E$99:E117)=D$92,F117,D$92-SUM(E$99:E117))</f>
        <v>0</v>
      </c>
      <c r="E118" s="164">
        <f t="shared" si="16"/>
        <v>0</v>
      </c>
      <c r="F118" s="163">
        <f t="shared" si="17"/>
        <v>0</v>
      </c>
      <c r="G118" s="163">
        <f t="shared" si="18"/>
        <v>0</v>
      </c>
      <c r="H118" s="333">
        <f t="shared" si="9"/>
        <v>0</v>
      </c>
      <c r="I118" s="344">
        <f t="shared" si="14"/>
        <v>0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 t="str">
        <f>IF(D93="","-",+C118+1)</f>
        <v>-</v>
      </c>
      <c r="D119" s="158">
        <f>IF(F118+SUM(E$99:E118)=D$92,F118,D$92-SUM(E$99:E118))</f>
        <v>0</v>
      </c>
      <c r="E119" s="164">
        <f t="shared" si="16"/>
        <v>0</v>
      </c>
      <c r="F119" s="163">
        <f t="shared" si="17"/>
        <v>0</v>
      </c>
      <c r="G119" s="163">
        <f t="shared" si="18"/>
        <v>0</v>
      </c>
      <c r="H119" s="333">
        <f t="shared" si="9"/>
        <v>0</v>
      </c>
      <c r="I119" s="344">
        <f t="shared" si="14"/>
        <v>0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 t="str">
        <f>IF(D93="","-",+C119+1)</f>
        <v>-</v>
      </c>
      <c r="D120" s="158">
        <f>IF(F119+SUM(E$99:E119)=D$92,F119,D$92-SUM(E$99:E119))</f>
        <v>0</v>
      </c>
      <c r="E120" s="164">
        <f t="shared" si="16"/>
        <v>0</v>
      </c>
      <c r="F120" s="163">
        <f t="shared" si="17"/>
        <v>0</v>
      </c>
      <c r="G120" s="163">
        <f t="shared" si="18"/>
        <v>0</v>
      </c>
      <c r="H120" s="333">
        <f t="shared" si="9"/>
        <v>0</v>
      </c>
      <c r="I120" s="344">
        <f t="shared" si="14"/>
        <v>0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 t="str">
        <f>IF(D93="","-",+C120+1)</f>
        <v>-</v>
      </c>
      <c r="D121" s="158">
        <f>IF(F120+SUM(E$99:E120)=D$92,F120,D$92-SUM(E$99:E120))</f>
        <v>0</v>
      </c>
      <c r="E121" s="164">
        <f t="shared" si="16"/>
        <v>0</v>
      </c>
      <c r="F121" s="163">
        <f t="shared" si="17"/>
        <v>0</v>
      </c>
      <c r="G121" s="163">
        <f t="shared" si="18"/>
        <v>0</v>
      </c>
      <c r="H121" s="333">
        <f t="shared" si="9"/>
        <v>0</v>
      </c>
      <c r="I121" s="344">
        <f t="shared" si="14"/>
        <v>0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 t="str">
        <f>IF(D93="","-",+C121+1)</f>
        <v>-</v>
      </c>
      <c r="D122" s="158">
        <f>IF(F121+SUM(E$99:E121)=D$92,F121,D$92-SUM(E$99:E121))</f>
        <v>0</v>
      </c>
      <c r="E122" s="164">
        <f t="shared" si="16"/>
        <v>0</v>
      </c>
      <c r="F122" s="163">
        <f t="shared" si="17"/>
        <v>0</v>
      </c>
      <c r="G122" s="163">
        <f t="shared" si="18"/>
        <v>0</v>
      </c>
      <c r="H122" s="333">
        <f t="shared" si="9"/>
        <v>0</v>
      </c>
      <c r="I122" s="344">
        <f t="shared" si="14"/>
        <v>0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 t="str">
        <f>IF(D93="","-",+C122+1)</f>
        <v>-</v>
      </c>
      <c r="D123" s="158">
        <f>IF(F122+SUM(E$99:E122)=D$92,F122,D$92-SUM(E$99:E122))</f>
        <v>0</v>
      </c>
      <c r="E123" s="164">
        <f t="shared" si="16"/>
        <v>0</v>
      </c>
      <c r="F123" s="163">
        <f t="shared" si="17"/>
        <v>0</v>
      </c>
      <c r="G123" s="163">
        <f t="shared" si="18"/>
        <v>0</v>
      </c>
      <c r="H123" s="333">
        <f t="shared" si="9"/>
        <v>0</v>
      </c>
      <c r="I123" s="344">
        <f t="shared" si="14"/>
        <v>0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 t="str">
        <f>IF(D93="","-",+C123+1)</f>
        <v>-</v>
      </c>
      <c r="D124" s="158">
        <f>IF(F123+SUM(E$99:E123)=D$92,F123,D$92-SUM(E$99:E123))</f>
        <v>0</v>
      </c>
      <c r="E124" s="164">
        <f t="shared" si="16"/>
        <v>0</v>
      </c>
      <c r="F124" s="163">
        <f t="shared" si="17"/>
        <v>0</v>
      </c>
      <c r="G124" s="163">
        <f t="shared" si="18"/>
        <v>0</v>
      </c>
      <c r="H124" s="333">
        <f t="shared" si="9"/>
        <v>0</v>
      </c>
      <c r="I124" s="344">
        <f t="shared" si="14"/>
        <v>0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 t="str">
        <f>IF(D93="","-",+C124+1)</f>
        <v>-</v>
      </c>
      <c r="D125" s="158">
        <f>IF(F124+SUM(E$99:E124)=D$92,F124,D$92-SUM(E$99:E124))</f>
        <v>0</v>
      </c>
      <c r="E125" s="164">
        <f t="shared" si="16"/>
        <v>0</v>
      </c>
      <c r="F125" s="163">
        <f t="shared" si="17"/>
        <v>0</v>
      </c>
      <c r="G125" s="163">
        <f t="shared" si="18"/>
        <v>0</v>
      </c>
      <c r="H125" s="333">
        <f t="shared" si="9"/>
        <v>0</v>
      </c>
      <c r="I125" s="344">
        <f t="shared" si="14"/>
        <v>0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 t="str">
        <f>IF(D93="","-",+C125+1)</f>
        <v>-</v>
      </c>
      <c r="D126" s="158">
        <f>IF(F125+SUM(E$99:E125)=D$92,F125,D$92-SUM(E$99:E125))</f>
        <v>0</v>
      </c>
      <c r="E126" s="164">
        <f t="shared" si="16"/>
        <v>0</v>
      </c>
      <c r="F126" s="163">
        <f t="shared" si="17"/>
        <v>0</v>
      </c>
      <c r="G126" s="163">
        <f t="shared" si="18"/>
        <v>0</v>
      </c>
      <c r="H126" s="333">
        <f t="shared" si="9"/>
        <v>0</v>
      </c>
      <c r="I126" s="344">
        <f t="shared" si="14"/>
        <v>0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 t="str">
        <f>IF(D93="","-",+C126+1)</f>
        <v>-</v>
      </c>
      <c r="D127" s="158">
        <f>IF(F126+SUM(E$99:E126)=D$92,F126,D$92-SUM(E$99:E126))</f>
        <v>0</v>
      </c>
      <c r="E127" s="164">
        <f t="shared" si="16"/>
        <v>0</v>
      </c>
      <c r="F127" s="163">
        <f t="shared" si="17"/>
        <v>0</v>
      </c>
      <c r="G127" s="163">
        <f t="shared" si="18"/>
        <v>0</v>
      </c>
      <c r="H127" s="333">
        <f t="shared" si="9"/>
        <v>0</v>
      </c>
      <c r="I127" s="344">
        <f t="shared" si="14"/>
        <v>0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 t="str">
        <f>IF(D93="","-",+C127+1)</f>
        <v>-</v>
      </c>
      <c r="D128" s="158">
        <f>IF(F127+SUM(E$99:E127)=D$92,F127,D$92-SUM(E$99:E127))</f>
        <v>0</v>
      </c>
      <c r="E128" s="164">
        <f t="shared" si="16"/>
        <v>0</v>
      </c>
      <c r="F128" s="163">
        <f t="shared" si="17"/>
        <v>0</v>
      </c>
      <c r="G128" s="163">
        <f t="shared" si="18"/>
        <v>0</v>
      </c>
      <c r="H128" s="333">
        <f t="shared" si="9"/>
        <v>0</v>
      </c>
      <c r="I128" s="344">
        <f t="shared" si="14"/>
        <v>0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 t="str">
        <f>IF(D93="","-",+C128+1)</f>
        <v>-</v>
      </c>
      <c r="D129" s="158">
        <f>IF(F128+SUM(E$99:E128)=D$92,F128,D$92-SUM(E$99:E128))</f>
        <v>0</v>
      </c>
      <c r="E129" s="164">
        <f t="shared" si="16"/>
        <v>0</v>
      </c>
      <c r="F129" s="163">
        <f t="shared" si="17"/>
        <v>0</v>
      </c>
      <c r="G129" s="163">
        <f t="shared" si="18"/>
        <v>0</v>
      </c>
      <c r="H129" s="333">
        <f t="shared" si="9"/>
        <v>0</v>
      </c>
      <c r="I129" s="344">
        <f t="shared" si="14"/>
        <v>0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 t="str">
        <f>IF(D93="","-",+C129+1)</f>
        <v>-</v>
      </c>
      <c r="D130" s="158">
        <f>IF(F129+SUM(E$99:E129)=D$92,F129,D$92-SUM(E$99:E129))</f>
        <v>0</v>
      </c>
      <c r="E130" s="164">
        <f t="shared" si="16"/>
        <v>0</v>
      </c>
      <c r="F130" s="163">
        <f t="shared" si="17"/>
        <v>0</v>
      </c>
      <c r="G130" s="163">
        <f t="shared" si="18"/>
        <v>0</v>
      </c>
      <c r="H130" s="333">
        <f t="shared" si="9"/>
        <v>0</v>
      </c>
      <c r="I130" s="344">
        <f t="shared" si="14"/>
        <v>0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 t="str">
        <f>IF(D93="","-",+C130+1)</f>
        <v>-</v>
      </c>
      <c r="D131" s="158">
        <f>IF(F130+SUM(E$99:E130)=D$92,F130,D$92-SUM(E$99:E130))</f>
        <v>0</v>
      </c>
      <c r="E131" s="164">
        <f t="shared" si="16"/>
        <v>0</v>
      </c>
      <c r="F131" s="163">
        <f t="shared" si="17"/>
        <v>0</v>
      </c>
      <c r="G131" s="163">
        <f t="shared" si="18"/>
        <v>0</v>
      </c>
      <c r="H131" s="333">
        <f t="shared" si="9"/>
        <v>0</v>
      </c>
      <c r="I131" s="344">
        <f t="shared" si="14"/>
        <v>0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 t="str">
        <f>IF(D93="","-",+C131+1)</f>
        <v>-</v>
      </c>
      <c r="D132" s="158">
        <f>IF(F131+SUM(E$99:E131)=D$92,F131,D$92-SUM(E$99:E131))</f>
        <v>0</v>
      </c>
      <c r="E132" s="164">
        <f t="shared" si="16"/>
        <v>0</v>
      </c>
      <c r="F132" s="163">
        <f t="shared" si="17"/>
        <v>0</v>
      </c>
      <c r="G132" s="163">
        <f t="shared" si="18"/>
        <v>0</v>
      </c>
      <c r="H132" s="333">
        <f t="shared" si="9"/>
        <v>0</v>
      </c>
      <c r="I132" s="344">
        <f t="shared" si="14"/>
        <v>0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 t="str">
        <f>IF(D93="","-",+C132+1)</f>
        <v>-</v>
      </c>
      <c r="D133" s="158">
        <f>IF(F132+SUM(E$99:E132)=D$92,F132,D$92-SUM(E$99:E132))</f>
        <v>0</v>
      </c>
      <c r="E133" s="164">
        <f t="shared" si="16"/>
        <v>0</v>
      </c>
      <c r="F133" s="163">
        <f t="shared" si="17"/>
        <v>0</v>
      </c>
      <c r="G133" s="163">
        <f t="shared" si="18"/>
        <v>0</v>
      </c>
      <c r="H133" s="333">
        <f t="shared" si="9"/>
        <v>0</v>
      </c>
      <c r="I133" s="344">
        <f t="shared" si="14"/>
        <v>0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 t="str">
        <f>IF(D93="","-",+C133+1)</f>
        <v>-</v>
      </c>
      <c r="D134" s="158">
        <f>IF(F133+SUM(E$99:E133)=D$92,F133,D$92-SUM(E$99:E133))</f>
        <v>0</v>
      </c>
      <c r="E134" s="164">
        <f t="shared" si="16"/>
        <v>0</v>
      </c>
      <c r="F134" s="163">
        <f t="shared" si="17"/>
        <v>0</v>
      </c>
      <c r="G134" s="163">
        <f t="shared" si="18"/>
        <v>0</v>
      </c>
      <c r="H134" s="333">
        <f t="shared" si="9"/>
        <v>0</v>
      </c>
      <c r="I134" s="344">
        <f t="shared" si="14"/>
        <v>0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 t="str">
        <f>IF(D93="","-",+C134+1)</f>
        <v>-</v>
      </c>
      <c r="D135" s="158">
        <f>IF(F134+SUM(E$99:E134)=D$92,F134,D$92-SUM(E$99:E134))</f>
        <v>0</v>
      </c>
      <c r="E135" s="164">
        <f t="shared" si="16"/>
        <v>0</v>
      </c>
      <c r="F135" s="163">
        <f t="shared" si="17"/>
        <v>0</v>
      </c>
      <c r="G135" s="163">
        <f t="shared" si="18"/>
        <v>0</v>
      </c>
      <c r="H135" s="333">
        <f t="shared" si="9"/>
        <v>0</v>
      </c>
      <c r="I135" s="344">
        <f t="shared" si="14"/>
        <v>0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 t="str">
        <f>IF(D93="","-",+C135+1)</f>
        <v>-</v>
      </c>
      <c r="D136" s="158">
        <f>IF(F135+SUM(E$99:E135)=D$92,F135,D$92-SUM(E$99:E135))</f>
        <v>0</v>
      </c>
      <c r="E136" s="164">
        <f t="shared" si="16"/>
        <v>0</v>
      </c>
      <c r="F136" s="163">
        <f t="shared" si="17"/>
        <v>0</v>
      </c>
      <c r="G136" s="163">
        <f t="shared" si="18"/>
        <v>0</v>
      </c>
      <c r="H136" s="333">
        <f t="shared" si="9"/>
        <v>0</v>
      </c>
      <c r="I136" s="344">
        <f t="shared" si="14"/>
        <v>0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 t="str">
        <f>IF(D93="","-",+C136+1)</f>
        <v>-</v>
      </c>
      <c r="D137" s="158">
        <f>IF(F136+SUM(E$99:E136)=D$92,F136,D$92-SUM(E$99:E136))</f>
        <v>0</v>
      </c>
      <c r="E137" s="164">
        <f t="shared" si="16"/>
        <v>0</v>
      </c>
      <c r="F137" s="163">
        <f t="shared" si="17"/>
        <v>0</v>
      </c>
      <c r="G137" s="163">
        <f t="shared" si="18"/>
        <v>0</v>
      </c>
      <c r="H137" s="333">
        <f t="shared" si="9"/>
        <v>0</v>
      </c>
      <c r="I137" s="344">
        <f t="shared" si="14"/>
        <v>0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 t="str">
        <f>IF(D93="","-",+C137+1)</f>
        <v>-</v>
      </c>
      <c r="D138" s="158">
        <f>IF(F137+SUM(E$99:E137)=D$92,F137,D$92-SUM(E$99:E137))</f>
        <v>0</v>
      </c>
      <c r="E138" s="164">
        <f t="shared" si="16"/>
        <v>0</v>
      </c>
      <c r="F138" s="163">
        <f t="shared" si="17"/>
        <v>0</v>
      </c>
      <c r="G138" s="163">
        <f t="shared" si="18"/>
        <v>0</v>
      </c>
      <c r="H138" s="333">
        <f t="shared" si="9"/>
        <v>0</v>
      </c>
      <c r="I138" s="344">
        <f t="shared" si="14"/>
        <v>0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 t="str">
        <f>IF(D93="","-",+C138+1)</f>
        <v>-</v>
      </c>
      <c r="D139" s="158">
        <f>IF(F138+SUM(E$99:E138)=D$92,F138,D$92-SUM(E$99:E138))</f>
        <v>0</v>
      </c>
      <c r="E139" s="164">
        <f t="shared" si="16"/>
        <v>0</v>
      </c>
      <c r="F139" s="163">
        <f t="shared" si="17"/>
        <v>0</v>
      </c>
      <c r="G139" s="163">
        <f t="shared" si="18"/>
        <v>0</v>
      </c>
      <c r="H139" s="333">
        <f t="shared" si="9"/>
        <v>0</v>
      </c>
      <c r="I139" s="344">
        <f t="shared" si="14"/>
        <v>0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 t="str">
        <f>IF(D93="","-",+C139+1)</f>
        <v>-</v>
      </c>
      <c r="D140" s="158">
        <f>IF(F139+SUM(E$99:E139)=D$92,F139,D$92-SUM(E$99:E139))</f>
        <v>0</v>
      </c>
      <c r="E140" s="164">
        <f t="shared" si="16"/>
        <v>0</v>
      </c>
      <c r="F140" s="163">
        <f t="shared" si="17"/>
        <v>0</v>
      </c>
      <c r="G140" s="163">
        <f t="shared" si="18"/>
        <v>0</v>
      </c>
      <c r="H140" s="333">
        <f t="shared" si="9"/>
        <v>0</v>
      </c>
      <c r="I140" s="344">
        <f t="shared" si="14"/>
        <v>0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 t="str">
        <f>IF(D93="","-",+C140+1)</f>
        <v>-</v>
      </c>
      <c r="D141" s="158">
        <f>IF(F140+SUM(E$99:E140)=D$92,F140,D$92-SUM(E$99:E140))</f>
        <v>0</v>
      </c>
      <c r="E141" s="164">
        <f t="shared" si="16"/>
        <v>0</v>
      </c>
      <c r="F141" s="163">
        <f t="shared" si="17"/>
        <v>0</v>
      </c>
      <c r="G141" s="163">
        <f t="shared" si="18"/>
        <v>0</v>
      </c>
      <c r="H141" s="333">
        <f t="shared" si="9"/>
        <v>0</v>
      </c>
      <c r="I141" s="344">
        <f t="shared" si="14"/>
        <v>0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 t="str">
        <f>IF(D93="","-",+C141+1)</f>
        <v>-</v>
      </c>
      <c r="D142" s="158">
        <f>IF(F141+SUM(E$99:E141)=D$92,F141,D$92-SUM(E$99:E141))</f>
        <v>0</v>
      </c>
      <c r="E142" s="164">
        <f t="shared" si="16"/>
        <v>0</v>
      </c>
      <c r="F142" s="163">
        <f t="shared" si="17"/>
        <v>0</v>
      </c>
      <c r="G142" s="163">
        <f t="shared" si="18"/>
        <v>0</v>
      </c>
      <c r="H142" s="333">
        <f t="shared" si="9"/>
        <v>0</v>
      </c>
      <c r="I142" s="344">
        <f t="shared" si="14"/>
        <v>0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 t="str">
        <f>IF(D93="","-",+C142+1)</f>
        <v>-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33">
        <f t="shared" si="9"/>
        <v>0</v>
      </c>
      <c r="I143" s="344">
        <f t="shared" si="14"/>
        <v>0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 t="str">
        <f>IF(D93="","-",+C143+1)</f>
        <v>-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33">
        <f t="shared" si="9"/>
        <v>0</v>
      </c>
      <c r="I144" s="344">
        <f t="shared" si="14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 t="str">
        <f>IF(D93="","-",+C144+1)</f>
        <v>-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33">
        <f t="shared" si="9"/>
        <v>0</v>
      </c>
      <c r="I145" s="344">
        <f t="shared" si="14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 t="str">
        <f>IF(D93="","-",+C145+1)</f>
        <v>-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 t="str">
        <f>IF(D93="","-",+C146+1)</f>
        <v>-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 t="str">
        <f>IF(D93="","-",+C147+1)</f>
        <v>-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 t="str">
        <f>IF(D93="","-",+C148+1)</f>
        <v>-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 t="str">
        <f>IF(D93="","-",+C149+1)</f>
        <v>-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 t="str">
        <f>IF(D93="","-",+C150+1)</f>
        <v>-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 t="str">
        <f>IF(D93="","-",+C151+1)</f>
        <v>-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 t="str">
        <f>IF(D93="","-",+C152+1)</f>
        <v>-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 t="str">
        <f>IF(D93="","-",+C153+1)</f>
        <v>-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5" priority="1" stopIfTrue="1" operator="equal">
      <formula>$I$10</formula>
    </cfRule>
  </conditionalFormatting>
  <conditionalFormatting sqref="C99:C154">
    <cfRule type="cellIs" dxfId="4" priority="2" stopIfTrue="1" operator="equal">
      <formula>$J$92</formula>
    </cfRule>
  </conditionalFormatting>
  <pageMargins left="0.5" right="0.25" top="1" bottom="0.25" header="0.25" footer="0.5"/>
  <pageSetup scale="47" orientation="landscape" r:id="rId1"/>
  <rowBreaks count="1" manualBreakCount="1">
    <brk id="8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137"/>
  <sheetViews>
    <sheetView view="pageBreakPreview" topLeftCell="D1" zoomScaleNormal="10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0.7109375" customWidth="1"/>
    <col min="4" max="9" width="17.7109375" customWidth="1"/>
    <col min="10" max="10" width="17.7109375" bestFit="1" customWidth="1"/>
    <col min="11" max="11" width="2.140625" customWidth="1"/>
    <col min="12" max="15" width="17.7109375" customWidth="1"/>
    <col min="16" max="16" width="19.5703125" customWidth="1"/>
    <col min="17" max="17" width="2.140625" customWidth="1"/>
    <col min="18" max="18" width="16.42578125" customWidth="1"/>
    <col min="19" max="19" width="52.42578125" customWidth="1"/>
  </cols>
  <sheetData>
    <row r="1" spans="1:19" ht="18">
      <c r="A1" s="504" t="str">
        <f>PSO.WS.F.BPU.ATRR.Projected!A1</f>
        <v xml:space="preserve">AEP West SPP Member Companies 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Q1" s="7"/>
      <c r="R1" s="7"/>
    </row>
    <row r="2" spans="1:19" ht="18">
      <c r="A2" s="504" t="str">
        <f>PSO.WS.F.BPU.ATRR.Projected!A2</f>
        <v>2019 Cost of Service Formula Rate Projected on 2018 FF1 Balances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Q2" s="240" t="s">
        <v>120</v>
      </c>
      <c r="R2" s="7"/>
    </row>
    <row r="3" spans="1:19" ht="18">
      <c r="A3" s="507" t="s">
        <v>136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Q3" s="7"/>
      <c r="R3" s="7"/>
    </row>
    <row r="4" spans="1:19" ht="18">
      <c r="A4" s="506" t="str">
        <f>"Based on a Carrying Charge Derived from ""Trued-Up"" "&amp;M16&amp;" Data"</f>
        <v>Based on a Carrying Charge Derived from "Trued-Up" 2017 Data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Q4" s="7"/>
      <c r="R4" s="7"/>
    </row>
    <row r="5" spans="1:19" ht="18">
      <c r="A5" s="512" t="str">
        <f>PSO.WS.F.BPU.ATRR.Projected!A5</f>
        <v>PUBLIC SERVICE COMPANY OF OKLAHOMA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Q5" s="7"/>
      <c r="R5" s="7"/>
    </row>
    <row r="6" spans="1:19" ht="20.25">
      <c r="A6" s="179"/>
      <c r="C6" s="71"/>
      <c r="D6" s="9"/>
      <c r="I6" s="10"/>
      <c r="K6" s="7"/>
      <c r="Q6" s="7"/>
      <c r="R6" s="7"/>
    </row>
    <row r="7" spans="1:19">
      <c r="D7" s="9"/>
      <c r="I7" s="10"/>
      <c r="K7" s="7"/>
      <c r="Q7" s="7"/>
      <c r="R7" s="7"/>
    </row>
    <row r="8" spans="1:19" ht="38.25" customHeight="1">
      <c r="B8" s="463" t="s">
        <v>0</v>
      </c>
      <c r="C8" s="509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510"/>
      <c r="E8" s="510"/>
      <c r="F8" s="510"/>
      <c r="G8" s="510"/>
      <c r="H8" s="510"/>
      <c r="I8" s="510"/>
      <c r="K8" s="7"/>
      <c r="Q8" s="7"/>
      <c r="R8" s="7"/>
    </row>
    <row r="9" spans="1:19" ht="15.75" customHeight="1">
      <c r="C9" s="6"/>
      <c r="D9" s="6"/>
      <c r="E9" s="6"/>
      <c r="F9" s="6"/>
      <c r="G9" s="6"/>
      <c r="H9" s="6"/>
      <c r="I9" s="6"/>
      <c r="K9" s="7"/>
      <c r="Q9" s="7"/>
      <c r="R9" s="7"/>
    </row>
    <row r="10" spans="1:19" ht="15.75">
      <c r="C10" s="8" t="str">
        <f>"A.   Determine 'R' with hypothetical "&amp;F13&amp;" basis point increase in ROE for Identified Projects"</f>
        <v>A.   Determine 'R' with hypothetical 0 basis point increase in ROE for Identified Projects</v>
      </c>
      <c r="D10" s="9"/>
      <c r="I10" s="10"/>
      <c r="K10" s="7"/>
      <c r="Q10" s="7"/>
      <c r="R10" s="7"/>
    </row>
    <row r="11" spans="1:19">
      <c r="D11" s="9"/>
      <c r="I11" s="10"/>
      <c r="K11" s="7"/>
      <c r="Q11" s="7"/>
      <c r="R11" s="7"/>
    </row>
    <row r="12" spans="1:19">
      <c r="C12" s="11" t="str">
        <f>S105</f>
        <v xml:space="preserve">   ROE w/o incentives  (True-Up TCOS, ln 135)</v>
      </c>
      <c r="D12" s="9"/>
      <c r="E12" s="12"/>
      <c r="F12" s="13">
        <f>+R105</f>
        <v>0.112</v>
      </c>
      <c r="G12" s="13"/>
      <c r="H12" s="14"/>
      <c r="I12" s="15"/>
      <c r="J12" s="16"/>
      <c r="K12" s="17"/>
      <c r="L12" s="16"/>
      <c r="M12" s="16"/>
      <c r="N12" s="16"/>
      <c r="O12" s="16"/>
      <c r="P12" s="16"/>
      <c r="Q12" s="17"/>
      <c r="R12" s="4"/>
      <c r="S12" s="1"/>
    </row>
    <row r="13" spans="1:19" ht="13.5" thickBot="1">
      <c r="C13" s="11" t="s">
        <v>1</v>
      </c>
      <c r="D13" s="9"/>
      <c r="E13" s="12"/>
      <c r="F13" s="19">
        <f>R106</f>
        <v>0</v>
      </c>
      <c r="G13" s="180" t="s">
        <v>147</v>
      </c>
      <c r="L13" s="16"/>
      <c r="M13" s="16"/>
      <c r="N13" s="16"/>
      <c r="O13" s="16"/>
      <c r="P13" s="16"/>
      <c r="Q13" s="17"/>
      <c r="R13" s="4"/>
      <c r="S13" s="1"/>
    </row>
    <row r="14" spans="1:19">
      <c r="C14" s="11" t="str">
        <f>"   ROE with additional "&amp;F13&amp;" basis point incentive"</f>
        <v xml:space="preserve">   ROE with additional 0 basis point incentive</v>
      </c>
      <c r="D14" s="12"/>
      <c r="E14" s="12"/>
      <c r="F14" s="20">
        <f>IF((F12+(F13/10000)&gt;0.1245),"ERROR",F12+(F13/10000))</f>
        <v>0.112</v>
      </c>
      <c r="G14" s="21" t="s">
        <v>2</v>
      </c>
      <c r="I14" s="16"/>
      <c r="J14" s="16"/>
      <c r="K14" s="17"/>
      <c r="L14" s="181" t="s">
        <v>84</v>
      </c>
      <c r="M14" s="182"/>
      <c r="N14" s="182"/>
      <c r="O14" s="182"/>
      <c r="P14" s="183"/>
      <c r="Q14" s="17"/>
      <c r="R14" s="4"/>
      <c r="S14" s="1"/>
    </row>
    <row r="15" spans="1:19">
      <c r="C15" s="11" t="s">
        <v>225</v>
      </c>
      <c r="D15" s="9"/>
      <c r="E15" s="12"/>
      <c r="F15" s="20"/>
      <c r="G15" s="20"/>
      <c r="H15" s="12"/>
      <c r="I15" s="16"/>
      <c r="J15" s="16"/>
      <c r="K15" s="17"/>
      <c r="L15" s="31"/>
      <c r="M15" s="17"/>
      <c r="N15" s="17" t="s">
        <v>8</v>
      </c>
      <c r="O15" s="17" t="s">
        <v>9</v>
      </c>
      <c r="P15" s="33" t="s">
        <v>10</v>
      </c>
      <c r="Q15" s="17"/>
      <c r="R15" s="4"/>
      <c r="S15" s="1"/>
    </row>
    <row r="16" spans="1:19">
      <c r="C16" s="17"/>
      <c r="D16" s="23" t="s">
        <v>4</v>
      </c>
      <c r="E16" s="23" t="s">
        <v>5</v>
      </c>
      <c r="F16" s="24" t="s">
        <v>6</v>
      </c>
      <c r="G16" s="24"/>
      <c r="H16" s="12"/>
      <c r="I16" s="16"/>
      <c r="J16" s="16"/>
      <c r="K16" s="17"/>
      <c r="L16" s="31" t="s">
        <v>85</v>
      </c>
      <c r="M16" s="226">
        <f>+R104</f>
        <v>2017</v>
      </c>
      <c r="N16" s="7"/>
      <c r="O16" s="7"/>
      <c r="P16" s="39"/>
      <c r="Q16" s="17"/>
      <c r="R16" s="4"/>
      <c r="S16" s="1"/>
    </row>
    <row r="17" spans="3:19">
      <c r="C17" s="25" t="s">
        <v>7</v>
      </c>
      <c r="D17" s="26">
        <f>R107</f>
        <v>0.51618961502275151</v>
      </c>
      <c r="E17" s="27">
        <f>R108</f>
        <v>4.5871001067944304E-2</v>
      </c>
      <c r="F17" s="184">
        <f>E17*D17</f>
        <v>2.3678134381970393E-2</v>
      </c>
      <c r="G17" s="184"/>
      <c r="H17" s="12"/>
      <c r="I17" s="16"/>
      <c r="J17" s="29"/>
      <c r="K17" s="30"/>
      <c r="L17" s="38"/>
      <c r="M17" s="351" t="s">
        <v>210</v>
      </c>
      <c r="N17" s="186">
        <f>SUM('P.001:P.xyz - blank'!M87)</f>
        <v>6729904.4711072175</v>
      </c>
      <c r="O17" s="186">
        <f>SUM('P.001:P.xyz - blank'!N87)</f>
        <v>6729904.4711072175</v>
      </c>
      <c r="P17" s="187">
        <f>+O17-N17</f>
        <v>0</v>
      </c>
      <c r="Q17" s="30"/>
      <c r="R17" s="4"/>
      <c r="S17" s="1"/>
    </row>
    <row r="18" spans="3:19" ht="13.5" thickBot="1">
      <c r="C18" s="25" t="s">
        <v>11</v>
      </c>
      <c r="D18" s="26">
        <f>R109</f>
        <v>0</v>
      </c>
      <c r="E18" s="27">
        <f>R110</f>
        <v>0</v>
      </c>
      <c r="F18" s="184">
        <f>E18*D18</f>
        <v>0</v>
      </c>
      <c r="G18" s="184"/>
      <c r="H18" s="35"/>
      <c r="I18" s="35"/>
      <c r="J18" s="36"/>
      <c r="K18" s="37"/>
      <c r="L18" s="38"/>
      <c r="M18" s="350" t="s">
        <v>209</v>
      </c>
      <c r="N18" s="188">
        <f>SUM('P.001:P.xyz - blank'!M88)</f>
        <v>6814046.4098945772</v>
      </c>
      <c r="O18" s="188">
        <f>SUM('P.001:P.xyz - blank'!N88)</f>
        <v>6814046.4098945772</v>
      </c>
      <c r="P18" s="45">
        <f>+O18-N18</f>
        <v>0</v>
      </c>
      <c r="Q18" s="37"/>
      <c r="R18" s="4"/>
      <c r="S18" s="1"/>
    </row>
    <row r="19" spans="3:19">
      <c r="C19" s="40" t="s">
        <v>12</v>
      </c>
      <c r="D19" s="26">
        <f>R111</f>
        <v>0.48381038497724849</v>
      </c>
      <c r="E19" s="27">
        <f>+F14</f>
        <v>0.112</v>
      </c>
      <c r="F19" s="189">
        <f>E19*D19</f>
        <v>5.4186763117451832E-2</v>
      </c>
      <c r="G19" s="189"/>
      <c r="H19" s="35"/>
      <c r="I19" s="35"/>
      <c r="J19" s="20"/>
      <c r="K19" s="37"/>
      <c r="L19" s="38"/>
      <c r="M19" s="185" t="str">
        <f>"True-up Adjustment For "&amp;M16&amp;""</f>
        <v>True-up Adjustment For 2017</v>
      </c>
      <c r="N19" s="190">
        <f>+N18-N17</f>
        <v>84141.938787359744</v>
      </c>
      <c r="O19" s="190">
        <f>+O18-O17</f>
        <v>84141.938787359744</v>
      </c>
      <c r="P19" s="191">
        <f>+P18-P17</f>
        <v>0</v>
      </c>
      <c r="Q19" s="37"/>
      <c r="R19" s="4"/>
      <c r="S19" s="1"/>
    </row>
    <row r="20" spans="3:19">
      <c r="C20" s="11"/>
      <c r="D20" s="12"/>
      <c r="E20" s="46" t="s">
        <v>14</v>
      </c>
      <c r="F20" s="184">
        <f>SUM(F17:F19)</f>
        <v>7.7864897499422228E-2</v>
      </c>
      <c r="G20" s="184"/>
      <c r="H20" s="192"/>
      <c r="I20" s="35"/>
      <c r="J20" s="36"/>
      <c r="K20" s="37"/>
      <c r="L20" s="38"/>
      <c r="M20" s="7"/>
      <c r="N20" s="230" t="str">
        <f>IF(ROUND(N19,0)=ROUND(SUM('P.001:P.xyz - blank'!M89),0),"","ERROR")</f>
        <v/>
      </c>
      <c r="O20" s="230" t="str">
        <f>IF(ROUND(O19,0)=ROUND(SUM('P.001:P.xyz - blank'!N89),0),"","ERROR")</f>
        <v/>
      </c>
      <c r="P20" s="230" t="str">
        <f>IF(P19=SUM('P.001:P.xyz - blank'!O89),"","ERROR")</f>
        <v/>
      </c>
      <c r="Q20" s="37"/>
      <c r="R20" s="4"/>
      <c r="S20" s="1"/>
    </row>
    <row r="21" spans="3:19" ht="13.5" thickBot="1">
      <c r="D21" s="47"/>
      <c r="E21" s="47"/>
      <c r="F21" s="35"/>
      <c r="G21" s="35"/>
      <c r="H21" s="35"/>
      <c r="I21" s="35"/>
      <c r="J21" s="35"/>
      <c r="K21" s="48"/>
      <c r="L21" s="193"/>
      <c r="M21" s="43"/>
      <c r="N21" s="194"/>
      <c r="O21" s="194"/>
      <c r="P21" s="45"/>
      <c r="Q21" s="48"/>
      <c r="R21" s="4"/>
      <c r="S21" s="1"/>
    </row>
    <row r="22" spans="3:19" ht="15.75">
      <c r="C22" s="8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47"/>
      <c r="E22" s="47"/>
      <c r="F22" s="50"/>
      <c r="G22" s="50"/>
      <c r="H22" s="35"/>
      <c r="I22" s="12"/>
      <c r="J22" s="35"/>
      <c r="K22" s="48"/>
      <c r="L22" s="35"/>
      <c r="M22" s="35"/>
      <c r="N22" s="35"/>
      <c r="O22" s="35"/>
      <c r="P22" s="35"/>
      <c r="Q22" s="48"/>
      <c r="R22" s="4"/>
      <c r="S22" s="1"/>
    </row>
    <row r="23" spans="3:19">
      <c r="C23" s="17"/>
      <c r="D23" s="47"/>
      <c r="E23" s="47"/>
      <c r="F23" s="48"/>
      <c r="G23" s="48"/>
      <c r="H23" s="48"/>
      <c r="I23" s="48"/>
      <c r="J23" s="48"/>
      <c r="K23" s="48"/>
      <c r="L23" s="49" t="s">
        <v>15</v>
      </c>
      <c r="M23" s="48"/>
      <c r="N23" s="48"/>
      <c r="O23" s="48"/>
      <c r="P23" s="48"/>
      <c r="Q23" s="48"/>
      <c r="R23" s="4"/>
      <c r="S23" s="1"/>
    </row>
    <row r="24" spans="3:19">
      <c r="C24" s="11" t="str">
        <f>S112</f>
        <v xml:space="preserve">   Rate Base  (True-Up TCOS, ln 63)</v>
      </c>
      <c r="D24" s="12"/>
      <c r="E24" s="52">
        <f>R112</f>
        <v>454662284.99494523</v>
      </c>
      <c r="F24" s="53"/>
      <c r="G24" s="53"/>
      <c r="H24" s="48"/>
      <c r="I24" s="48"/>
      <c r="J24" s="48"/>
      <c r="K24" s="48"/>
      <c r="L24" t="s">
        <v>16</v>
      </c>
      <c r="M24" s="48"/>
      <c r="N24" s="48"/>
      <c r="O24" s="48"/>
      <c r="P24" s="53"/>
      <c r="Q24" s="48"/>
      <c r="R24" s="4"/>
      <c r="S24" s="1"/>
    </row>
    <row r="25" spans="3:19">
      <c r="C25" s="17" t="s">
        <v>17</v>
      </c>
      <c r="D25" s="14"/>
      <c r="E25" s="54">
        <f>F20</f>
        <v>7.7864897499422228E-2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"/>
      <c r="S25" s="1"/>
    </row>
    <row r="26" spans="3:19">
      <c r="C26" s="55" t="s">
        <v>18</v>
      </c>
      <c r="D26" s="55"/>
      <c r="E26" s="36">
        <f>E24*E25</f>
        <v>35402232.217984505</v>
      </c>
      <c r="F26" s="48"/>
      <c r="G26" s="48"/>
      <c r="H26" s="48"/>
      <c r="I26" s="48"/>
      <c r="J26" s="37"/>
      <c r="K26" s="37"/>
      <c r="L26" s="37"/>
      <c r="M26" s="37"/>
      <c r="N26" s="37"/>
      <c r="O26" s="37"/>
      <c r="P26" s="48"/>
      <c r="Q26" s="37"/>
      <c r="R26" s="4"/>
      <c r="S26" s="1"/>
    </row>
    <row r="27" spans="3:19">
      <c r="C27" s="56"/>
      <c r="D27" s="16"/>
      <c r="E27" s="16"/>
      <c r="F27" s="48"/>
      <c r="G27" s="48"/>
      <c r="H27" s="48"/>
      <c r="I27" s="48"/>
      <c r="J27" s="37"/>
      <c r="K27" s="37"/>
      <c r="L27" s="37"/>
      <c r="M27" s="37"/>
      <c r="N27" s="37"/>
      <c r="O27" s="37"/>
      <c r="P27" s="48"/>
      <c r="Q27" s="37"/>
      <c r="R27" s="4"/>
      <c r="S27" s="1"/>
    </row>
    <row r="28" spans="3:19" ht="15.75">
      <c r="C28" s="8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57"/>
      <c r="E28" s="57"/>
      <c r="F28" s="58"/>
      <c r="G28" s="58"/>
      <c r="H28" s="58"/>
      <c r="I28" s="58"/>
      <c r="J28" s="59"/>
      <c r="K28" s="59"/>
      <c r="L28" s="59"/>
      <c r="M28" s="59"/>
      <c r="N28" s="59"/>
      <c r="O28" s="59"/>
      <c r="P28" s="58"/>
      <c r="Q28" s="59"/>
      <c r="R28" s="4"/>
      <c r="S28" s="1"/>
    </row>
    <row r="29" spans="3:19">
      <c r="C29" s="11"/>
      <c r="D29" s="16"/>
      <c r="E29" s="16"/>
      <c r="F29" s="48"/>
      <c r="G29" s="48"/>
      <c r="H29" s="48"/>
      <c r="I29" s="48"/>
      <c r="J29" s="37"/>
      <c r="K29" s="37"/>
      <c r="L29" s="37"/>
      <c r="M29" s="37"/>
      <c r="N29" s="37"/>
      <c r="O29" s="37"/>
      <c r="P29" s="48"/>
      <c r="Q29" s="37"/>
      <c r="R29" s="4"/>
      <c r="S29" s="1"/>
    </row>
    <row r="30" spans="3:19">
      <c r="C30" s="17" t="s">
        <v>19</v>
      </c>
      <c r="D30" s="46"/>
      <c r="E30" s="60">
        <f>E26</f>
        <v>35402232.217984505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"/>
      <c r="S30" s="1"/>
    </row>
    <row r="31" spans="3:19">
      <c r="C31" s="11" t="str">
        <f>S113</f>
        <v xml:space="preserve">   Tax Rate  (True-Up TCOS, ln 105)</v>
      </c>
      <c r="D31" s="46"/>
      <c r="E31" s="61">
        <f>R113</f>
        <v>0.38568499999999994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"/>
      <c r="S31" s="1"/>
    </row>
    <row r="32" spans="3:19">
      <c r="C32" s="17" t="s">
        <v>20</v>
      </c>
      <c r="D32" s="2"/>
      <c r="E32" s="20">
        <f>IF(F17&gt;0,($E31/(1-$E31))*(1-$F17/$F20),0)</f>
        <v>0.43691114344255833</v>
      </c>
      <c r="F32" s="1"/>
      <c r="G32" s="1"/>
      <c r="H32" s="1"/>
      <c r="I32" s="3"/>
      <c r="J32" s="1"/>
      <c r="K32" s="4"/>
      <c r="L32" s="1"/>
      <c r="M32" s="1"/>
      <c r="N32" s="1"/>
      <c r="O32" s="1"/>
      <c r="P32" s="1"/>
      <c r="Q32" s="4"/>
      <c r="R32" s="4"/>
      <c r="S32" s="103"/>
    </row>
    <row r="33" spans="2:19">
      <c r="C33" s="56" t="s">
        <v>21</v>
      </c>
      <c r="D33" s="2"/>
      <c r="E33" s="63">
        <f>E30*E32</f>
        <v>15467629.758778587</v>
      </c>
      <c r="F33" s="1"/>
      <c r="G33" s="1"/>
      <c r="H33" s="1"/>
      <c r="I33" s="3"/>
      <c r="J33" s="1"/>
      <c r="K33" s="4"/>
      <c r="L33" s="1"/>
      <c r="M33" s="1"/>
      <c r="N33" s="1"/>
      <c r="O33" s="1"/>
      <c r="P33" s="1"/>
      <c r="Q33" s="4"/>
      <c r="R33" s="4"/>
      <c r="S33" s="1"/>
    </row>
    <row r="34" spans="2:19" ht="15">
      <c r="C34" s="11" t="str">
        <f>S114</f>
        <v xml:space="preserve">   ITC Adjustment  (True-Up TCOS, ln 102)</v>
      </c>
      <c r="D34" s="65"/>
      <c r="E34" s="68">
        <f>R114</f>
        <v>-487039.39732408116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7"/>
      <c r="Q34" s="65"/>
      <c r="R34" s="4"/>
      <c r="S34" s="1"/>
    </row>
    <row r="35" spans="2:19" ht="15">
      <c r="C35" s="11" t="str">
        <f>S115</f>
        <v xml:space="preserve">   Excess DFIT Adjustment  (TCOS, ln 106)</v>
      </c>
      <c r="D35" s="65"/>
      <c r="E35" s="68">
        <f>R115</f>
        <v>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7"/>
      <c r="Q35" s="65"/>
      <c r="R35" s="4"/>
      <c r="S35" s="1"/>
    </row>
    <row r="36" spans="2:19" ht="15">
      <c r="C36" s="11" t="str">
        <f>S116</f>
        <v xml:space="preserve">   Tax Effect of Permanent Differences Adj  (TCOS, ln 107)</v>
      </c>
      <c r="D36" s="65"/>
      <c r="E36" s="66">
        <f>R116</f>
        <v>0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7"/>
      <c r="Q36" s="65"/>
      <c r="R36" s="4"/>
      <c r="S36" s="1"/>
    </row>
    <row r="37" spans="2:19" ht="15">
      <c r="C37" s="56" t="s">
        <v>22</v>
      </c>
      <c r="D37" s="65"/>
      <c r="E37" s="68">
        <f>E33+E34+E35+E36</f>
        <v>14980590.361454505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9"/>
      <c r="Q37" s="65"/>
      <c r="R37" s="4"/>
      <c r="S37" s="1"/>
    </row>
    <row r="38" spans="2:19" ht="12.75" customHeight="1">
      <c r="C38" s="70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9"/>
      <c r="Q38" s="65"/>
      <c r="R38" s="4"/>
      <c r="S38" s="1"/>
    </row>
    <row r="39" spans="2:19" ht="18.75">
      <c r="B39" s="5" t="s">
        <v>23</v>
      </c>
      <c r="C39" s="71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9"/>
      <c r="Q39" s="65"/>
      <c r="R39" s="4"/>
      <c r="S39" s="1"/>
    </row>
    <row r="40" spans="2:19" ht="18.75" customHeight="1">
      <c r="B40" s="5"/>
      <c r="C40" s="71" t="str">
        <f>"ROE increase."</f>
        <v>ROE increase.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9"/>
      <c r="Q40" s="65"/>
      <c r="R40" s="4"/>
      <c r="S40" s="1"/>
    </row>
    <row r="41" spans="2:19" ht="12.75" customHeight="1">
      <c r="C41" s="7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9"/>
      <c r="Q41" s="65"/>
      <c r="R41" s="4"/>
      <c r="S41" s="1"/>
    </row>
    <row r="42" spans="2:19" ht="15.75">
      <c r="C42" s="8" t="s">
        <v>24</v>
      </c>
      <c r="D42" s="65"/>
      <c r="E42" s="65"/>
      <c r="F42" s="72"/>
      <c r="G42" s="72"/>
      <c r="H42" s="65"/>
      <c r="I42" s="65"/>
      <c r="J42" s="65"/>
      <c r="K42" s="65"/>
      <c r="L42" s="65"/>
      <c r="M42" s="65"/>
      <c r="N42" s="65"/>
      <c r="O42" s="65"/>
      <c r="P42" s="69"/>
      <c r="Q42" s="65"/>
      <c r="R42" s="4"/>
      <c r="S42" s="1"/>
    </row>
    <row r="43" spans="2:19">
      <c r="B43" s="1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68"/>
      <c r="Q43" s="74"/>
      <c r="R43" s="4"/>
      <c r="S43" s="1"/>
    </row>
    <row r="44" spans="2:19" ht="12.75" customHeight="1">
      <c r="B44" s="1"/>
      <c r="C44" s="11" t="str">
        <f>S117</f>
        <v xml:space="preserve">   Net Revenue Requirement  (True-Up TCOS, ln 109)</v>
      </c>
      <c r="D44" s="74"/>
      <c r="E44" s="74"/>
      <c r="F44" s="68">
        <f>R117</f>
        <v>94283133.637234092</v>
      </c>
      <c r="G44" s="68"/>
      <c r="H44" s="74"/>
      <c r="I44" s="74"/>
      <c r="J44" s="74"/>
      <c r="K44" s="74"/>
      <c r="L44" s="74"/>
      <c r="M44" s="74"/>
      <c r="N44" s="74"/>
      <c r="O44" s="74"/>
      <c r="P44" s="68"/>
      <c r="Q44" s="74"/>
      <c r="R44" s="4"/>
      <c r="S44" s="1"/>
    </row>
    <row r="45" spans="2:19">
      <c r="B45" s="1"/>
      <c r="C45" s="11" t="str">
        <f>S118</f>
        <v xml:space="preserve">   Return  (True-Up TCOS, ln 104)</v>
      </c>
      <c r="D45" s="74"/>
      <c r="E45" s="74"/>
      <c r="F45" s="68">
        <f>R118</f>
        <v>35402232.217984505</v>
      </c>
      <c r="G45" s="75"/>
      <c r="H45" s="76"/>
      <c r="I45" s="76"/>
      <c r="J45" s="76"/>
      <c r="K45" s="76"/>
      <c r="L45" s="76"/>
      <c r="M45" s="76"/>
      <c r="N45" s="76"/>
      <c r="O45" s="76"/>
      <c r="P45" s="68"/>
      <c r="Q45" s="76"/>
      <c r="R45" s="4"/>
      <c r="S45" s="1"/>
    </row>
    <row r="46" spans="2:19">
      <c r="B46" s="1"/>
      <c r="C46" s="11" t="str">
        <f>S119</f>
        <v xml:space="preserve">   Income Taxes  (True-Up TCOS, ln 103)</v>
      </c>
      <c r="D46" s="74"/>
      <c r="E46" s="74"/>
      <c r="F46" s="68">
        <f>R119</f>
        <v>14980590.361454505</v>
      </c>
      <c r="G46" s="68"/>
      <c r="H46" s="74"/>
      <c r="I46" s="74"/>
      <c r="J46" s="77"/>
      <c r="K46" s="77"/>
      <c r="L46" s="77"/>
      <c r="M46" s="77"/>
      <c r="N46" s="77"/>
      <c r="O46" s="77"/>
      <c r="P46" s="74"/>
      <c r="Q46" s="77"/>
      <c r="R46" s="4"/>
      <c r="S46" s="1"/>
    </row>
    <row r="47" spans="2:19">
      <c r="B47" s="1"/>
      <c r="C47" s="11" t="str">
        <f>S120</f>
        <v xml:space="preserve">  Gross Margin Taxes  (True-Up TCOS, ln 108)</v>
      </c>
      <c r="D47" s="74"/>
      <c r="E47" s="74"/>
      <c r="F47" s="66">
        <f>R120</f>
        <v>0</v>
      </c>
      <c r="G47" s="68"/>
      <c r="H47" s="74"/>
      <c r="I47" s="74"/>
      <c r="J47" s="77"/>
      <c r="K47" s="77"/>
      <c r="L47" s="77"/>
      <c r="M47" s="77"/>
      <c r="N47" s="77"/>
      <c r="O47" s="77"/>
      <c r="P47" s="74"/>
      <c r="Q47" s="77"/>
      <c r="R47" s="4"/>
      <c r="S47" s="1"/>
    </row>
    <row r="48" spans="2:19">
      <c r="B48" s="1"/>
      <c r="C48" s="22" t="s">
        <v>25</v>
      </c>
      <c r="D48" s="74"/>
      <c r="E48" s="74"/>
      <c r="F48" s="75">
        <f>F44-F45-F46-F47</f>
        <v>43900311.057795078</v>
      </c>
      <c r="G48" s="75"/>
      <c r="H48" s="78"/>
      <c r="I48" s="74"/>
      <c r="J48" s="78"/>
      <c r="K48" s="78"/>
      <c r="L48" s="78"/>
      <c r="M48" s="78"/>
      <c r="N48" s="78"/>
      <c r="O48" s="78"/>
      <c r="P48" s="78"/>
      <c r="Q48" s="78"/>
      <c r="R48" s="4"/>
      <c r="S48" s="1"/>
    </row>
    <row r="49" spans="2:19">
      <c r="B49" s="1"/>
      <c r="C49" s="73"/>
      <c r="D49" s="74"/>
      <c r="E49" s="74"/>
      <c r="F49" s="68"/>
      <c r="G49" s="68"/>
      <c r="H49" s="79"/>
      <c r="I49" s="80"/>
      <c r="J49" s="80"/>
      <c r="K49" s="80"/>
      <c r="L49" s="80"/>
      <c r="M49" s="80"/>
      <c r="N49" s="80"/>
      <c r="O49" s="80"/>
      <c r="P49" s="80"/>
      <c r="Q49" s="80"/>
      <c r="R49" s="4"/>
      <c r="S49" s="1"/>
    </row>
    <row r="50" spans="2:19" ht="15.75">
      <c r="B50" s="1"/>
      <c r="C50" s="8" t="str">
        <f>"B.   Determine Net Revenue Requirement with hypothetical "&amp;F13&amp;" basis point increase in ROE."</f>
        <v>B.   Determine Net Revenue Requirement with hypothetical 0 basis point increase in ROE.</v>
      </c>
      <c r="D50" s="81"/>
      <c r="E50" s="81"/>
      <c r="F50" s="68"/>
      <c r="G50" s="68"/>
      <c r="H50" s="79"/>
      <c r="I50" s="80"/>
      <c r="J50" s="80"/>
      <c r="K50" s="80"/>
      <c r="L50" s="80"/>
      <c r="M50" s="80"/>
      <c r="N50" s="80"/>
      <c r="O50" s="80"/>
      <c r="P50" s="80"/>
      <c r="Q50" s="80"/>
      <c r="R50" s="4"/>
      <c r="S50" s="1"/>
    </row>
    <row r="51" spans="2:19">
      <c r="B51" s="1"/>
      <c r="C51" s="73"/>
      <c r="D51" s="81"/>
      <c r="E51" s="81"/>
      <c r="F51" s="68"/>
      <c r="G51" s="68"/>
      <c r="H51" s="79"/>
      <c r="I51" s="80"/>
      <c r="J51" s="80"/>
      <c r="K51" s="80"/>
      <c r="L51" s="80"/>
      <c r="M51" s="80"/>
      <c r="N51" s="80"/>
      <c r="O51" s="80"/>
      <c r="P51" s="80"/>
      <c r="Q51" s="80"/>
      <c r="R51" s="4"/>
      <c r="S51" s="1"/>
    </row>
    <row r="52" spans="2:19">
      <c r="B52" s="1"/>
      <c r="C52" s="73" t="str">
        <f>C48</f>
        <v xml:space="preserve">   Net Revenue Requirement, Less Return and Taxes</v>
      </c>
      <c r="D52" s="81"/>
      <c r="E52" s="81"/>
      <c r="F52" s="68">
        <f>F48</f>
        <v>43900311.057795078</v>
      </c>
      <c r="G52" s="68"/>
      <c r="H52" s="74"/>
      <c r="I52" s="74"/>
      <c r="J52" s="74"/>
      <c r="K52" s="74"/>
      <c r="L52" s="74"/>
      <c r="M52" s="74"/>
      <c r="N52" s="74"/>
      <c r="O52" s="74"/>
      <c r="P52" s="84"/>
      <c r="Q52" s="74"/>
      <c r="R52" s="4"/>
      <c r="S52" s="1"/>
    </row>
    <row r="53" spans="2:19">
      <c r="B53" s="1"/>
      <c r="C53" s="17" t="s">
        <v>98</v>
      </c>
      <c r="D53" s="86"/>
      <c r="E53" s="22"/>
      <c r="F53" s="87">
        <f>E26</f>
        <v>35402232.217984505</v>
      </c>
      <c r="G53" s="87"/>
      <c r="H53" s="22"/>
      <c r="I53" s="88"/>
      <c r="J53" s="22"/>
      <c r="K53" s="22"/>
      <c r="L53" s="22"/>
      <c r="M53" s="22"/>
      <c r="N53" s="22"/>
      <c r="O53" s="22"/>
      <c r="P53" s="22"/>
      <c r="Q53" s="22"/>
      <c r="R53" s="4"/>
      <c r="S53" s="1"/>
    </row>
    <row r="54" spans="2:19" ht="12.75" customHeight="1">
      <c r="B54" s="1"/>
      <c r="C54" s="11" t="s">
        <v>26</v>
      </c>
      <c r="D54" s="74"/>
      <c r="E54" s="74"/>
      <c r="F54" s="195">
        <f>E37</f>
        <v>14980590.361454505</v>
      </c>
      <c r="G54" s="89"/>
      <c r="H54" s="1"/>
      <c r="I54" s="3"/>
      <c r="J54" s="1"/>
      <c r="K54" s="4"/>
      <c r="L54" s="1"/>
      <c r="M54" s="1"/>
      <c r="N54" s="1"/>
      <c r="O54" s="1"/>
      <c r="P54" s="1"/>
      <c r="Q54" s="4"/>
      <c r="R54" s="4"/>
      <c r="S54" s="1"/>
    </row>
    <row r="55" spans="2:19">
      <c r="B55" s="1"/>
      <c r="C55" s="22" t="str">
        <f>"   Net Revenue Requirement, with "&amp;F13&amp;" Basis Point ROE increase"</f>
        <v xml:space="preserve">   Net Revenue Requirement, with 0 Basis Point ROE increase</v>
      </c>
      <c r="D55" s="2"/>
      <c r="E55" s="1"/>
      <c r="F55" s="63">
        <f>SUM(F52:F54)</f>
        <v>94283133.637234077</v>
      </c>
      <c r="G55" s="63"/>
      <c r="H55" s="1"/>
      <c r="I55" s="3"/>
      <c r="J55" s="1"/>
      <c r="K55" s="4"/>
      <c r="L55" s="1"/>
      <c r="M55" s="1"/>
      <c r="N55" s="1"/>
      <c r="O55" s="1"/>
      <c r="P55" s="1"/>
      <c r="Q55" s="4"/>
      <c r="R55" s="4"/>
      <c r="S55" s="1"/>
    </row>
    <row r="56" spans="2:19">
      <c r="B56" s="1"/>
      <c r="C56" s="64" t="str">
        <f>"   Gross Margin Tax with "&amp;F13&amp;" Basis Point ROE Increase (II C. below)"</f>
        <v xml:space="preserve">   Gross Margin Tax with 0 Basis Point ROE Increase (II C. below)</v>
      </c>
      <c r="D56" s="90"/>
      <c r="E56" s="90"/>
      <c r="F56" s="91">
        <f>+F71</f>
        <v>0</v>
      </c>
      <c r="G56" s="87"/>
      <c r="H56" s="1"/>
      <c r="I56" s="3"/>
      <c r="J56" s="1"/>
      <c r="K56" s="4"/>
      <c r="L56" s="1"/>
      <c r="M56" s="1"/>
      <c r="N56" s="1"/>
      <c r="O56" s="1"/>
      <c r="P56" s="1"/>
      <c r="Q56" s="4"/>
      <c r="R56" s="4"/>
      <c r="S56" s="1"/>
    </row>
    <row r="57" spans="2:19">
      <c r="B57" s="1"/>
      <c r="C57" s="22" t="s">
        <v>27</v>
      </c>
      <c r="D57" s="2"/>
      <c r="E57" s="1"/>
      <c r="F57" s="92">
        <f>+F55+F56</f>
        <v>94283133.637234077</v>
      </c>
      <c r="G57" s="92"/>
      <c r="H57" s="1"/>
      <c r="I57" s="3"/>
      <c r="J57" s="1"/>
      <c r="K57" s="4"/>
      <c r="L57" s="1"/>
      <c r="M57" s="1"/>
      <c r="N57" s="1"/>
      <c r="O57" s="1"/>
      <c r="P57" s="1"/>
      <c r="Q57" s="4"/>
      <c r="R57" s="4"/>
      <c r="S57" s="1"/>
    </row>
    <row r="58" spans="2:19">
      <c r="B58" s="1"/>
      <c r="C58" s="11" t="str">
        <f>S121</f>
        <v xml:space="preserve">   Less: Depreciation  (True-Up TCOS, ln 82)</v>
      </c>
      <c r="D58" s="2"/>
      <c r="E58" s="1"/>
      <c r="F58" s="93">
        <f>R121</f>
        <v>17165640.823174316</v>
      </c>
      <c r="G58" s="93"/>
      <c r="H58" s="1"/>
      <c r="I58" s="3"/>
      <c r="J58" s="1"/>
      <c r="K58" s="4"/>
      <c r="L58" s="1"/>
      <c r="M58" s="1"/>
      <c r="N58" s="1"/>
      <c r="O58" s="1"/>
      <c r="P58" s="1"/>
      <c r="Q58" s="4"/>
      <c r="R58" s="4"/>
      <c r="S58" s="1"/>
    </row>
    <row r="59" spans="2:19">
      <c r="B59" s="1"/>
      <c r="C59" s="22" t="str">
        <f>"   Net Rev. Req, w/"&amp;F13&amp;" Basis Point ROE increase, less Depreciation"</f>
        <v xml:space="preserve">   Net Rev. Req, w/0 Basis Point ROE increase, less Depreciation</v>
      </c>
      <c r="D59" s="2"/>
      <c r="E59" s="1"/>
      <c r="F59" s="63">
        <f>F57-F58</f>
        <v>77117492.814059764</v>
      </c>
      <c r="G59" s="63"/>
      <c r="H59" s="1"/>
      <c r="I59" s="3"/>
      <c r="J59" s="1"/>
      <c r="K59" s="4"/>
      <c r="L59" s="1"/>
      <c r="M59" s="1"/>
      <c r="N59" s="1"/>
      <c r="O59" s="1"/>
      <c r="P59" s="1"/>
      <c r="Q59" s="4"/>
      <c r="R59" s="4"/>
      <c r="S59" s="1"/>
    </row>
    <row r="60" spans="2:19">
      <c r="B60" s="1"/>
      <c r="C60" s="1"/>
      <c r="D60" s="2"/>
      <c r="E60" s="1"/>
      <c r="F60" s="1"/>
      <c r="G60" s="1"/>
      <c r="H60" s="1"/>
      <c r="I60" s="3"/>
      <c r="J60" s="1"/>
      <c r="K60" s="4"/>
      <c r="L60" s="1"/>
      <c r="M60" s="1"/>
      <c r="N60" s="1"/>
      <c r="O60" s="1"/>
      <c r="P60" s="1"/>
      <c r="Q60" s="4"/>
      <c r="R60" s="4"/>
      <c r="S60" s="1"/>
    </row>
    <row r="61" spans="2:19" ht="15.75">
      <c r="B61" s="1"/>
      <c r="C61" s="94" t="str">
        <f>"C.   Determine Gross Margin Tax with hypothetical "&amp;F13&amp;" basis point increase in ROE."</f>
        <v>C.   Determine Gross Margin Tax with hypothetical 0 basis point increase in ROE.</v>
      </c>
      <c r="D61" s="95"/>
      <c r="E61" s="95"/>
      <c r="F61" s="96"/>
      <c r="G61" s="96"/>
      <c r="H61" s="18"/>
      <c r="I61" s="3"/>
      <c r="J61" s="1"/>
      <c r="K61" s="4"/>
      <c r="L61" s="1"/>
      <c r="M61" s="1"/>
      <c r="N61" s="1"/>
      <c r="O61" s="1"/>
      <c r="P61" s="1"/>
      <c r="Q61" s="4"/>
      <c r="R61" s="4"/>
      <c r="S61" s="1"/>
    </row>
    <row r="62" spans="2:19">
      <c r="B62" s="1"/>
      <c r="C62" s="64" t="str">
        <f>"   Net Revenue Requirement before Gross Margin Taxes, with "&amp;F13&amp;" "</f>
        <v xml:space="preserve">   Net Revenue Requirement before Gross Margin Taxes, with 0 </v>
      </c>
      <c r="D62" s="95"/>
      <c r="E62" s="95"/>
      <c r="F62" s="96">
        <f>+F55</f>
        <v>94283133.637234077</v>
      </c>
      <c r="G62" s="96"/>
      <c r="H62" s="18"/>
      <c r="I62" s="3"/>
      <c r="J62" s="1"/>
      <c r="K62" s="4"/>
      <c r="L62" s="1"/>
      <c r="M62" s="1"/>
      <c r="N62" s="1"/>
      <c r="O62" s="1"/>
      <c r="P62" s="1"/>
      <c r="Q62" s="4"/>
      <c r="R62" s="4"/>
      <c r="S62" s="1"/>
    </row>
    <row r="63" spans="2:19">
      <c r="B63" s="1"/>
      <c r="C63" s="64" t="s">
        <v>28</v>
      </c>
      <c r="D63" s="95"/>
      <c r="E63" s="95"/>
      <c r="F63" s="96"/>
      <c r="G63" s="96"/>
      <c r="H63" s="18"/>
      <c r="I63" s="3"/>
      <c r="J63" s="1"/>
      <c r="K63" s="4"/>
      <c r="L63" s="1"/>
      <c r="M63" s="1"/>
      <c r="N63" s="1"/>
      <c r="O63" s="1"/>
      <c r="P63" s="1"/>
      <c r="Q63" s="4"/>
      <c r="R63" s="4"/>
      <c r="S63" s="1"/>
    </row>
    <row r="64" spans="2:19">
      <c r="B64" s="1"/>
      <c r="C64" s="22" t="s">
        <v>281</v>
      </c>
      <c r="D64" s="62"/>
      <c r="E64" s="18"/>
      <c r="F64" s="98">
        <f>+R122</f>
        <v>0</v>
      </c>
      <c r="G64" s="146"/>
      <c r="H64" s="18"/>
      <c r="I64" s="3"/>
      <c r="J64" s="1"/>
      <c r="K64" s="4"/>
      <c r="L64" s="1"/>
      <c r="M64" s="1"/>
      <c r="N64" s="1"/>
      <c r="O64" s="1"/>
      <c r="P64" s="1"/>
      <c r="Q64" s="4"/>
      <c r="R64" s="4"/>
      <c r="S64" s="1"/>
    </row>
    <row r="65" spans="2:19">
      <c r="B65" s="1"/>
      <c r="C65" s="22" t="s">
        <v>282</v>
      </c>
      <c r="D65" s="62"/>
      <c r="E65" s="18"/>
      <c r="F65" s="96">
        <f>+F62*F64</f>
        <v>0</v>
      </c>
      <c r="G65" s="96"/>
      <c r="H65" s="18"/>
      <c r="I65" s="3"/>
      <c r="J65" s="1"/>
      <c r="K65" s="4"/>
      <c r="L65" s="1"/>
      <c r="M65" s="1"/>
      <c r="N65" s="1"/>
      <c r="O65" s="1"/>
      <c r="P65" s="1"/>
      <c r="Q65" s="4"/>
      <c r="R65" s="4"/>
      <c r="S65" s="1"/>
    </row>
    <row r="66" spans="2:19">
      <c r="B66" s="1"/>
      <c r="C66" s="22" t="s">
        <v>283</v>
      </c>
      <c r="D66" s="62"/>
      <c r="E66" s="18"/>
      <c r="F66" s="99">
        <v>0.22</v>
      </c>
      <c r="G66" s="196"/>
      <c r="H66" s="18"/>
      <c r="I66" s="3"/>
      <c r="J66" s="1"/>
      <c r="K66" s="4"/>
      <c r="L66" s="1"/>
      <c r="M66" s="1"/>
      <c r="N66" s="1"/>
      <c r="O66" s="1"/>
      <c r="P66" s="1"/>
      <c r="Q66" s="4"/>
      <c r="R66" s="4"/>
      <c r="S66" s="1"/>
    </row>
    <row r="67" spans="2:19">
      <c r="B67" s="1"/>
      <c r="C67" s="22" t="s">
        <v>284</v>
      </c>
      <c r="D67" s="62"/>
      <c r="E67" s="18"/>
      <c r="F67" s="96">
        <f>+F65*F66</f>
        <v>0</v>
      </c>
      <c r="G67" s="96"/>
      <c r="H67" s="18"/>
      <c r="I67" s="3"/>
      <c r="J67" s="1"/>
      <c r="K67" s="4"/>
      <c r="L67" s="1"/>
      <c r="M67" s="1"/>
      <c r="N67" s="1"/>
      <c r="O67" s="1"/>
      <c r="P67" s="1"/>
      <c r="Q67" s="4"/>
      <c r="R67" s="4"/>
      <c r="S67" s="1"/>
    </row>
    <row r="68" spans="2:19">
      <c r="B68" s="1"/>
      <c r="C68" s="22" t="s">
        <v>285</v>
      </c>
      <c r="D68" s="62"/>
      <c r="E68" s="18"/>
      <c r="F68" s="99">
        <v>0.01</v>
      </c>
      <c r="G68" s="196"/>
      <c r="H68" s="18"/>
      <c r="I68" s="3"/>
      <c r="J68" s="1"/>
      <c r="K68" s="4"/>
      <c r="L68" s="1"/>
      <c r="M68" s="1"/>
      <c r="N68" s="1"/>
      <c r="O68" s="1"/>
      <c r="P68" s="1"/>
      <c r="Q68" s="4"/>
      <c r="R68" s="4"/>
      <c r="S68" s="1"/>
    </row>
    <row r="69" spans="2:19">
      <c r="B69" s="1"/>
      <c r="C69" s="22" t="s">
        <v>286</v>
      </c>
      <c r="D69" s="62"/>
      <c r="E69" s="18"/>
      <c r="F69" s="96">
        <f>+F67*F68</f>
        <v>0</v>
      </c>
      <c r="G69" s="96"/>
      <c r="H69" s="18"/>
      <c r="I69" s="3"/>
      <c r="J69" s="1"/>
      <c r="K69" s="4"/>
      <c r="L69" s="1"/>
      <c r="M69" s="1"/>
      <c r="N69" s="1"/>
      <c r="O69" s="1"/>
      <c r="P69" s="1"/>
      <c r="Q69" s="4"/>
      <c r="R69" s="4"/>
      <c r="S69" s="1"/>
    </row>
    <row r="70" spans="2:19">
      <c r="B70" s="1"/>
      <c r="C70" s="22" t="s">
        <v>287</v>
      </c>
      <c r="D70" s="62"/>
      <c r="E70" s="18"/>
      <c r="F70" s="100">
        <f>+ROUND((F69*F66*F64)/(1-F68)*F68,0)</f>
        <v>0</v>
      </c>
      <c r="G70" s="197"/>
      <c r="H70" s="18"/>
      <c r="I70" s="3"/>
      <c r="J70" s="1"/>
      <c r="K70" s="4"/>
      <c r="L70" s="1"/>
      <c r="M70" s="1"/>
      <c r="N70" s="1"/>
      <c r="O70" s="1"/>
      <c r="P70" s="1"/>
      <c r="Q70" s="4"/>
      <c r="R70" s="4"/>
      <c r="S70" s="1"/>
    </row>
    <row r="71" spans="2:19">
      <c r="B71" s="1"/>
      <c r="C71" s="22" t="s">
        <v>29</v>
      </c>
      <c r="D71" s="62"/>
      <c r="E71" s="18"/>
      <c r="F71" s="96">
        <f>+F69+F70</f>
        <v>0</v>
      </c>
      <c r="G71" s="96"/>
      <c r="H71" s="18"/>
      <c r="I71" s="3"/>
      <c r="J71" s="1"/>
      <c r="K71" s="4"/>
      <c r="L71" s="1"/>
      <c r="M71" s="1"/>
      <c r="N71" s="1"/>
      <c r="O71" s="1"/>
      <c r="P71" s="1"/>
      <c r="Q71" s="4"/>
      <c r="R71" s="4"/>
      <c r="S71" s="1"/>
    </row>
    <row r="72" spans="2:19">
      <c r="B72" s="1"/>
      <c r="C72" s="1"/>
      <c r="D72" s="2"/>
      <c r="E72" s="1"/>
      <c r="F72" s="1"/>
      <c r="G72" s="1"/>
      <c r="H72" s="1"/>
      <c r="I72" s="3"/>
      <c r="J72" s="1"/>
      <c r="K72" s="4"/>
      <c r="L72" s="1"/>
      <c r="M72" s="1"/>
      <c r="N72" s="1"/>
      <c r="O72" s="1"/>
      <c r="P72" s="1"/>
      <c r="Q72" s="4"/>
      <c r="R72" s="4"/>
      <c r="S72" s="1"/>
    </row>
    <row r="73" spans="2:19" ht="15.75">
      <c r="B73" s="1"/>
      <c r="C73" s="8" t="str">
        <f>"D.   Determine FCR with hypothetical "&amp;F13&amp;" basis point ROE increase."</f>
        <v>D.   Determine FCR with hypothetical 0 basis point ROE increase.</v>
      </c>
      <c r="D73" s="2"/>
      <c r="E73" s="1"/>
      <c r="F73" s="1"/>
      <c r="G73" s="1"/>
      <c r="H73" s="1"/>
      <c r="I73" s="10"/>
      <c r="J73" s="1"/>
      <c r="K73" s="4"/>
      <c r="L73" s="1"/>
      <c r="M73" s="1"/>
      <c r="N73" s="1"/>
      <c r="O73" s="1"/>
      <c r="P73" s="1"/>
      <c r="Q73" s="4"/>
      <c r="R73" s="4"/>
      <c r="S73" s="1"/>
    </row>
    <row r="74" spans="2:19">
      <c r="B74" s="1"/>
      <c r="C74" s="1"/>
      <c r="D74" s="2"/>
      <c r="E74" s="1"/>
      <c r="F74" s="1"/>
      <c r="G74" s="1"/>
      <c r="H74" s="1"/>
      <c r="I74" s="3"/>
      <c r="J74" s="1"/>
      <c r="K74" s="4"/>
      <c r="L74" s="1"/>
      <c r="M74" s="1"/>
      <c r="N74" s="1"/>
      <c r="O74" s="1"/>
      <c r="P74" s="1"/>
      <c r="Q74" s="4"/>
      <c r="R74" s="4"/>
      <c r="S74" s="1"/>
    </row>
    <row r="75" spans="2:19">
      <c r="B75" s="1"/>
      <c r="C75" s="73" t="str">
        <f>S123</f>
        <v xml:space="preserve">   Net Transmission Plant  (True-Up TCOS, ln 39)</v>
      </c>
      <c r="D75" s="2"/>
      <c r="E75" s="1"/>
      <c r="F75" s="63">
        <f>R123</f>
        <v>607930310.73895669</v>
      </c>
      <c r="G75" s="63"/>
      <c r="I75" s="10"/>
      <c r="J75" s="1"/>
      <c r="K75" s="4"/>
      <c r="L75" s="1"/>
      <c r="M75" s="1"/>
      <c r="N75" s="1"/>
      <c r="O75" s="1"/>
      <c r="P75" s="1"/>
      <c r="Q75" s="4"/>
      <c r="R75" s="4"/>
      <c r="S75" s="1"/>
    </row>
    <row r="76" spans="2:19" ht="15">
      <c r="B76" s="1"/>
      <c r="C76" s="22" t="str">
        <f>"   Net Revenue Requirement, with "&amp;F13&amp;" Basis Point ROE increase"</f>
        <v xml:space="preserve">   Net Revenue Requirement, with 0 Basis Point ROE increase</v>
      </c>
      <c r="D76" s="2"/>
      <c r="E76" s="1"/>
      <c r="F76" s="198">
        <f>+F57</f>
        <v>94283133.637234077</v>
      </c>
      <c r="G76" s="198"/>
      <c r="I76" s="10"/>
      <c r="J76" s="1"/>
      <c r="K76" s="4"/>
      <c r="L76" s="1"/>
      <c r="M76" s="1"/>
      <c r="N76" s="1"/>
      <c r="O76" s="1"/>
      <c r="P76" s="1"/>
      <c r="Q76" s="4"/>
      <c r="R76" s="4"/>
      <c r="S76" s="1"/>
    </row>
    <row r="77" spans="2:19">
      <c r="B77" s="1"/>
      <c r="C77" s="22" t="str">
        <f>"   FCR with "&amp;F13&amp;" Basis Point increase in ROE"</f>
        <v xml:space="preserve">   FCR with 0 Basis Point increase in ROE</v>
      </c>
      <c r="D77" s="2"/>
      <c r="E77" s="1"/>
      <c r="F77" s="103">
        <f>IF(F75=0,0,F76/F75)</f>
        <v>0.15508871982814976</v>
      </c>
      <c r="G77" s="103"/>
      <c r="I77" s="10"/>
      <c r="J77" s="1"/>
      <c r="K77" s="4"/>
      <c r="L77" s="1"/>
      <c r="M77" s="1"/>
      <c r="N77" s="1"/>
      <c r="O77" s="1"/>
      <c r="P77" s="1"/>
      <c r="Q77" s="4"/>
      <c r="R77" s="4"/>
      <c r="S77" s="1"/>
    </row>
    <row r="78" spans="2:19">
      <c r="B78" s="1"/>
      <c r="D78" s="2"/>
      <c r="E78" s="1"/>
      <c r="F78" s="18"/>
      <c r="G78" s="18"/>
      <c r="H78" s="199"/>
      <c r="I78" s="10"/>
      <c r="J78" s="1"/>
      <c r="K78" s="4"/>
      <c r="L78" s="1"/>
      <c r="M78" s="1"/>
      <c r="N78" s="1"/>
      <c r="O78" s="1"/>
      <c r="P78" s="1"/>
      <c r="Q78" s="4"/>
      <c r="R78" s="4"/>
      <c r="S78" s="1"/>
    </row>
    <row r="79" spans="2:19">
      <c r="B79" s="1"/>
      <c r="C79" s="22" t="str">
        <f>"   Net Rev. Req, w / "&amp;F13&amp;" Basis Point ROE increase, less Dep."</f>
        <v xml:space="preserve">   Net Rev. Req, w / 0 Basis Point ROE increase, less Dep.</v>
      </c>
      <c r="D79" s="2"/>
      <c r="E79" s="1"/>
      <c r="F79" s="63">
        <f>+F59</f>
        <v>77117492.814059764</v>
      </c>
      <c r="G79" s="63"/>
      <c r="I79" s="10"/>
      <c r="J79" s="1"/>
      <c r="K79" s="4"/>
      <c r="L79" s="1"/>
      <c r="M79" s="1"/>
      <c r="N79" s="1"/>
      <c r="O79" s="1"/>
      <c r="P79" s="1"/>
      <c r="Q79" s="4"/>
      <c r="R79" s="4"/>
      <c r="S79" s="1"/>
    </row>
    <row r="80" spans="2:19">
      <c r="B80" s="1"/>
      <c r="C80" s="22" t="str">
        <f>"   FCR with "&amp;F13&amp;" Basis Point ROE increase, less Depreciation"</f>
        <v xml:space="preserve">   FCR with 0 Basis Point ROE increase, less Depreciation</v>
      </c>
      <c r="D80" s="2"/>
      <c r="E80" s="1"/>
      <c r="F80" s="103">
        <f>IF(F75=0,0,F79/F75)</f>
        <v>0.12685252150089579</v>
      </c>
      <c r="G80" s="103"/>
      <c r="H80" s="101"/>
      <c r="I80" s="10"/>
      <c r="J80" s="1"/>
      <c r="K80" s="4"/>
      <c r="L80" s="1"/>
      <c r="M80" s="1"/>
      <c r="N80" s="1"/>
      <c r="O80" s="1"/>
      <c r="P80" s="1"/>
      <c r="Q80" s="4"/>
      <c r="R80" s="4"/>
      <c r="S80" s="1"/>
    </row>
    <row r="81" spans="2:19">
      <c r="B81" s="1"/>
      <c r="C81" s="73" t="str">
        <f>S124</f>
        <v xml:space="preserve">   FCR less Depreciation  (True-Up TCOS, ln 12)</v>
      </c>
      <c r="D81" s="2"/>
      <c r="E81" s="1"/>
      <c r="F81" s="104">
        <f>R124</f>
        <v>0.12685252150089582</v>
      </c>
      <c r="G81" s="104"/>
      <c r="H81" s="200"/>
      <c r="I81" s="10"/>
      <c r="J81" s="1"/>
      <c r="K81" s="4"/>
      <c r="L81" s="1"/>
      <c r="M81" s="1"/>
      <c r="N81" s="1"/>
      <c r="O81" s="1"/>
      <c r="P81" s="1"/>
      <c r="Q81" s="4"/>
      <c r="R81" s="4"/>
      <c r="S81" s="1"/>
    </row>
    <row r="82" spans="2:19">
      <c r="B82" s="1"/>
      <c r="C82" s="22" t="str">
        <f>"   Incremental FCR with "&amp;F13&amp;" Basis Point ROE increase, less Depreciation"</f>
        <v xml:space="preserve">   Incremental FCR with 0 Basis Point ROE increase, less Depreciation</v>
      </c>
      <c r="D82" s="2"/>
      <c r="E82" s="1"/>
      <c r="F82" s="103">
        <f>F80-F81</f>
        <v>0</v>
      </c>
      <c r="G82" s="103"/>
      <c r="I82" s="10"/>
      <c r="J82" s="1"/>
      <c r="K82" s="4"/>
      <c r="L82" s="1"/>
      <c r="M82" s="1"/>
      <c r="N82" s="1"/>
      <c r="O82" s="1"/>
      <c r="P82" s="1"/>
      <c r="Q82" s="4"/>
      <c r="R82" s="4"/>
      <c r="S82" s="1"/>
    </row>
    <row r="83" spans="2:19">
      <c r="B83" s="1"/>
      <c r="C83" s="22"/>
      <c r="D83" s="2"/>
      <c r="E83" s="1"/>
      <c r="F83" s="103"/>
      <c r="G83" s="103"/>
      <c r="H83" s="1"/>
      <c r="I83" s="3"/>
      <c r="J83" s="1"/>
      <c r="K83" s="4"/>
      <c r="L83" s="1"/>
      <c r="M83" s="1"/>
      <c r="N83" s="1"/>
      <c r="O83" s="1"/>
      <c r="P83" s="1"/>
      <c r="Q83" s="4"/>
      <c r="R83" s="4"/>
      <c r="S83" s="1"/>
    </row>
    <row r="84" spans="2:19" ht="18.75">
      <c r="B84" s="5" t="s">
        <v>30</v>
      </c>
      <c r="C84" s="71" t="s">
        <v>31</v>
      </c>
      <c r="D84" s="2"/>
      <c r="E84" s="1"/>
      <c r="F84" s="103"/>
      <c r="G84" s="103"/>
      <c r="H84" s="1"/>
      <c r="I84" s="3"/>
      <c r="J84" s="1"/>
      <c r="K84" s="4"/>
      <c r="L84" s="1"/>
      <c r="M84" s="1"/>
      <c r="N84" s="1"/>
      <c r="O84" s="1"/>
      <c r="P84" s="1"/>
      <c r="Q84" s="4"/>
      <c r="R84" s="4"/>
      <c r="S84" s="1"/>
    </row>
    <row r="85" spans="2:19" ht="12.75" customHeight="1">
      <c r="B85" s="5"/>
      <c r="C85" s="71"/>
      <c r="D85" s="2"/>
      <c r="E85" s="1"/>
      <c r="F85" s="103"/>
      <c r="G85" s="103"/>
      <c r="H85" s="1"/>
      <c r="I85" s="3"/>
      <c r="J85" s="1"/>
      <c r="K85" s="4"/>
      <c r="L85" s="1"/>
      <c r="M85" s="1"/>
      <c r="N85" s="1"/>
      <c r="O85" s="1"/>
      <c r="P85" s="1"/>
      <c r="Q85" s="4"/>
      <c r="R85" s="4"/>
      <c r="S85" s="1"/>
    </row>
    <row r="86" spans="2:19" ht="12.75" customHeight="1">
      <c r="B86" s="5"/>
      <c r="C86" s="22" t="s">
        <v>32</v>
      </c>
      <c r="D86" s="2"/>
      <c r="F86" s="97">
        <f>R125</f>
        <v>832778192</v>
      </c>
      <c r="G86" s="1" t="s">
        <v>276</v>
      </c>
      <c r="I86" s="3"/>
      <c r="J86" s="1"/>
      <c r="K86" s="4"/>
      <c r="L86" s="1"/>
      <c r="M86" s="1"/>
      <c r="N86" s="1"/>
      <c r="O86" s="1"/>
      <c r="P86" s="1"/>
      <c r="Q86" s="4"/>
      <c r="R86" s="4"/>
      <c r="S86" s="1"/>
    </row>
    <row r="87" spans="2:19" ht="12.75" customHeight="1">
      <c r="B87" s="5"/>
      <c r="C87" s="22" t="s">
        <v>33</v>
      </c>
      <c r="D87" s="2"/>
      <c r="F87" s="106">
        <f>R126</f>
        <v>858822495</v>
      </c>
      <c r="G87" s="1" t="s">
        <v>276</v>
      </c>
      <c r="I87" s="3"/>
      <c r="J87" s="1"/>
      <c r="K87" s="4"/>
      <c r="L87" s="1"/>
      <c r="M87" s="1"/>
      <c r="N87" s="1"/>
      <c r="O87" s="1"/>
      <c r="P87" s="1"/>
      <c r="Q87" s="4"/>
      <c r="R87" s="4"/>
      <c r="S87" s="1"/>
    </row>
    <row r="88" spans="2:19" ht="12.75" customHeight="1">
      <c r="B88" s="5"/>
      <c r="C88" s="22"/>
      <c r="D88" s="2"/>
      <c r="F88" s="3">
        <f>+F87+F86</f>
        <v>1691600687</v>
      </c>
      <c r="G88" s="3"/>
      <c r="H88" s="1"/>
      <c r="I88" s="3"/>
      <c r="J88" s="1"/>
      <c r="K88" s="4"/>
      <c r="L88" s="1"/>
      <c r="M88" s="1"/>
      <c r="N88" s="1"/>
      <c r="O88" s="1"/>
      <c r="P88" s="1"/>
      <c r="Q88" s="4"/>
      <c r="R88" s="4"/>
      <c r="S88" s="1"/>
    </row>
    <row r="89" spans="2:19">
      <c r="B89" s="1"/>
      <c r="C89" s="22" t="str">
        <f>+S127</f>
        <v xml:space="preserve">Transmission Plant Average Balance for 2017 </v>
      </c>
      <c r="D89" s="62"/>
      <c r="E89" s="107"/>
      <c r="F89" s="88">
        <f>+F88/2</f>
        <v>845800343.5</v>
      </c>
      <c r="G89" s="88"/>
      <c r="I89" s="3"/>
      <c r="J89" s="1"/>
      <c r="K89" s="4"/>
      <c r="L89" s="1"/>
      <c r="M89" s="1"/>
      <c r="N89" s="1"/>
      <c r="O89" s="1"/>
      <c r="P89" s="1"/>
      <c r="Q89" s="4"/>
      <c r="R89" s="4"/>
      <c r="S89" s="1"/>
    </row>
    <row r="90" spans="2:19">
      <c r="B90" s="1"/>
      <c r="C90" s="11" t="str">
        <f>S128</f>
        <v>Annual Depreciation Expense  (True-Up TCOS, ln 82)</v>
      </c>
      <c r="D90" s="62"/>
      <c r="E90" s="18"/>
      <c r="F90" s="88">
        <f>R128</f>
        <v>18413996</v>
      </c>
      <c r="G90" s="88"/>
      <c r="I90" s="3"/>
      <c r="J90" s="1"/>
      <c r="K90" s="4"/>
      <c r="L90" s="1"/>
      <c r="M90" s="1"/>
      <c r="N90" s="1"/>
      <c r="O90" s="1"/>
      <c r="P90" s="1"/>
      <c r="Q90" s="4"/>
      <c r="R90" s="4"/>
      <c r="S90" s="1"/>
    </row>
    <row r="91" spans="2:19">
      <c r="B91" s="1"/>
      <c r="C91" s="22" t="s">
        <v>34</v>
      </c>
      <c r="D91" s="2"/>
      <c r="E91" s="1"/>
      <c r="F91" s="103">
        <f>IF(F89=0,0,F90/F89)</f>
        <v>2.1771090708950509E-2</v>
      </c>
      <c r="G91" s="103"/>
      <c r="H91" s="1"/>
      <c r="I91" s="109"/>
      <c r="J91" s="1"/>
      <c r="K91" s="4"/>
      <c r="L91" s="1"/>
      <c r="M91" s="1"/>
      <c r="N91" s="1"/>
      <c r="O91" s="1"/>
      <c r="P91" s="1"/>
      <c r="Q91" s="4"/>
      <c r="R91" s="4"/>
      <c r="S91" s="1"/>
    </row>
    <row r="92" spans="2:19">
      <c r="B92" s="1"/>
      <c r="C92" s="22" t="s">
        <v>35</v>
      </c>
      <c r="D92" s="2"/>
      <c r="E92" s="1"/>
      <c r="F92" s="110">
        <f>IF(F91=0,0,1/F91)</f>
        <v>45.932471338649144</v>
      </c>
      <c r="G92" s="110"/>
      <c r="H92" s="1"/>
      <c r="I92" s="3"/>
      <c r="J92" s="1"/>
      <c r="K92" s="4"/>
      <c r="L92" s="1"/>
      <c r="M92" s="1"/>
      <c r="N92" s="1"/>
      <c r="O92" s="1"/>
      <c r="P92" s="1"/>
      <c r="Q92" s="4"/>
      <c r="R92" s="4"/>
      <c r="S92" s="1"/>
    </row>
    <row r="93" spans="2:19">
      <c r="B93" s="1"/>
      <c r="C93" s="22" t="s">
        <v>36</v>
      </c>
      <c r="D93" s="2"/>
      <c r="E93" s="1"/>
      <c r="F93" s="111">
        <f>ROUND(F92,0)</f>
        <v>46</v>
      </c>
      <c r="G93" s="111"/>
      <c r="H93" s="1"/>
      <c r="I93" s="3"/>
      <c r="J93" s="1"/>
      <c r="K93" s="4"/>
      <c r="L93" s="1"/>
      <c r="M93" s="1"/>
      <c r="N93" s="1"/>
      <c r="O93" s="1"/>
      <c r="P93" s="1"/>
      <c r="Q93" s="4"/>
      <c r="R93" s="4"/>
      <c r="S93" s="1"/>
    </row>
    <row r="94" spans="2:19">
      <c r="B94" s="1"/>
      <c r="C94" s="22"/>
      <c r="D94" s="2"/>
      <c r="E94" s="1"/>
      <c r="F94" s="111"/>
      <c r="G94" s="111"/>
      <c r="H94" s="1"/>
      <c r="I94" s="3"/>
      <c r="J94" s="1"/>
      <c r="K94" s="4"/>
      <c r="L94" s="1"/>
      <c r="M94" s="1"/>
      <c r="N94" s="1"/>
      <c r="O94" s="1"/>
      <c r="P94" s="1"/>
      <c r="Q94" s="4"/>
      <c r="R94" s="4"/>
      <c r="S94" s="1"/>
    </row>
    <row r="95" spans="2:19">
      <c r="B95" s="1"/>
      <c r="C95" s="22"/>
      <c r="D95" s="2"/>
      <c r="E95" s="1"/>
      <c r="F95" s="111"/>
      <c r="G95" s="111"/>
      <c r="H95" s="1"/>
      <c r="I95" s="3"/>
      <c r="J95" s="1"/>
      <c r="K95" s="4"/>
      <c r="L95" s="1"/>
      <c r="M95" s="1"/>
      <c r="N95" s="1"/>
      <c r="O95" s="1"/>
      <c r="P95" s="1"/>
      <c r="Q95" s="4"/>
      <c r="R95" s="4"/>
      <c r="S95" s="1"/>
    </row>
    <row r="96" spans="2:19">
      <c r="B96" s="1"/>
      <c r="C96" s="22"/>
      <c r="D96" s="2"/>
      <c r="E96" s="1"/>
      <c r="F96" s="111"/>
      <c r="G96" s="111"/>
      <c r="H96" s="1"/>
      <c r="I96" s="3"/>
      <c r="J96" s="1"/>
      <c r="K96" s="4"/>
      <c r="L96" s="1"/>
      <c r="M96" s="1"/>
      <c r="N96" s="1"/>
      <c r="O96" s="1"/>
      <c r="P96" s="1"/>
      <c r="Q96" s="4"/>
      <c r="R96" s="4"/>
      <c r="S96" s="1"/>
    </row>
    <row r="97" spans="3:19">
      <c r="C97" s="1"/>
      <c r="D97" s="2"/>
      <c r="E97" s="1"/>
      <c r="F97" s="1"/>
      <c r="G97" s="1"/>
      <c r="H97" s="1"/>
      <c r="I97" s="3"/>
      <c r="J97" s="1"/>
      <c r="K97" s="4"/>
      <c r="L97" s="1"/>
      <c r="M97" s="1"/>
      <c r="N97" s="1"/>
      <c r="O97" s="1"/>
      <c r="P97" s="1"/>
      <c r="Q97" s="4"/>
      <c r="R97" s="233" t="s">
        <v>121</v>
      </c>
      <c r="S97" s="232" t="s">
        <v>127</v>
      </c>
    </row>
    <row r="98" spans="3:19">
      <c r="C98" s="1"/>
      <c r="D98" s="2"/>
      <c r="E98" s="1"/>
      <c r="F98" s="1"/>
      <c r="G98" s="1"/>
      <c r="H98" s="1"/>
      <c r="I98" s="3"/>
      <c r="J98" s="1"/>
      <c r="K98" s="4"/>
      <c r="L98" s="1"/>
      <c r="M98" s="1"/>
      <c r="N98" s="1"/>
      <c r="O98" s="1"/>
      <c r="P98" s="1"/>
      <c r="Q98" s="4"/>
    </row>
    <row r="99" spans="3:19">
      <c r="C99" s="240" t="s">
        <v>117</v>
      </c>
      <c r="J99" s="7"/>
      <c r="L99" s="240" t="s">
        <v>116</v>
      </c>
      <c r="N99" s="1"/>
      <c r="O99" s="1"/>
      <c r="P99" s="1"/>
      <c r="Q99" s="4"/>
    </row>
    <row r="100" spans="3:19">
      <c r="C100" s="1"/>
      <c r="D100" s="2"/>
      <c r="E100" s="1"/>
      <c r="F100" s="1"/>
      <c r="G100" s="1"/>
      <c r="H100" s="1"/>
      <c r="I100" s="3"/>
      <c r="J100" s="1"/>
      <c r="K100" s="4"/>
      <c r="L100" s="1"/>
      <c r="M100" s="1"/>
      <c r="N100" s="1"/>
      <c r="O100" s="1"/>
      <c r="P100" s="1"/>
      <c r="Q100" s="4"/>
      <c r="S100" s="232" t="s">
        <v>114</v>
      </c>
    </row>
    <row r="101" spans="3:19">
      <c r="C101" s="1"/>
      <c r="D101" s="2"/>
      <c r="E101" s="1"/>
      <c r="F101" s="1"/>
      <c r="G101" s="1"/>
      <c r="H101" s="1"/>
      <c r="I101" s="3"/>
      <c r="J101" s="1"/>
      <c r="K101" s="4"/>
      <c r="L101" s="1"/>
      <c r="M101" s="1"/>
      <c r="N101" s="1"/>
      <c r="O101" s="1"/>
      <c r="P101" s="1"/>
      <c r="Q101" s="4"/>
      <c r="R101" s="233" t="s">
        <v>110</v>
      </c>
      <c r="S101" s="236" t="s">
        <v>130</v>
      </c>
    </row>
    <row r="102" spans="3:19" ht="13.5" thickBot="1">
      <c r="C102" s="1"/>
      <c r="D102" s="2"/>
      <c r="E102" s="1"/>
      <c r="F102" s="1"/>
      <c r="G102" s="1"/>
      <c r="H102" s="1"/>
      <c r="I102" s="3"/>
      <c r="J102" s="1"/>
      <c r="K102" s="4"/>
      <c r="L102" s="1"/>
      <c r="M102" s="1"/>
      <c r="N102" s="1"/>
      <c r="O102" s="1"/>
      <c r="P102" s="1"/>
      <c r="Q102" s="4"/>
      <c r="R102" s="235" t="s">
        <v>217</v>
      </c>
    </row>
    <row r="103" spans="3:19">
      <c r="C103" s="1"/>
      <c r="D103" s="2"/>
      <c r="E103" s="1"/>
      <c r="F103" s="1"/>
      <c r="G103" s="1"/>
      <c r="H103" s="1"/>
      <c r="I103" s="3"/>
      <c r="J103" s="1"/>
      <c r="K103" s="4"/>
      <c r="L103" s="1"/>
      <c r="M103" s="1"/>
      <c r="N103" s="1"/>
      <c r="O103" s="1"/>
      <c r="P103" s="1"/>
      <c r="Q103" s="4"/>
      <c r="R103" s="403" t="s">
        <v>204</v>
      </c>
      <c r="S103" s="243" t="s">
        <v>138</v>
      </c>
    </row>
    <row r="104" spans="3:19">
      <c r="C104" s="1"/>
      <c r="D104" s="2"/>
      <c r="E104" s="1"/>
      <c r="F104" s="1"/>
      <c r="G104" s="1"/>
      <c r="H104" s="1"/>
      <c r="I104" s="3"/>
      <c r="J104" s="1"/>
      <c r="K104" s="4"/>
      <c r="L104" s="1"/>
      <c r="M104" s="1"/>
      <c r="N104" s="1"/>
      <c r="O104" s="1"/>
      <c r="P104" s="1"/>
      <c r="Q104" s="4"/>
      <c r="R104" s="404">
        <v>2017</v>
      </c>
      <c r="S104" s="39" t="s">
        <v>89</v>
      </c>
    </row>
    <row r="105" spans="3:19">
      <c r="C105" s="1"/>
      <c r="D105" s="2"/>
      <c r="E105" s="1"/>
      <c r="F105" s="1"/>
      <c r="G105" s="1"/>
      <c r="H105" s="1"/>
      <c r="I105" s="3"/>
      <c r="J105" s="1"/>
      <c r="K105" s="4"/>
      <c r="L105" s="1"/>
      <c r="M105" s="1"/>
      <c r="N105" s="1"/>
      <c r="O105" s="1"/>
      <c r="P105" s="1"/>
      <c r="Q105" s="4"/>
      <c r="R105" s="390">
        <v>0.112</v>
      </c>
      <c r="S105" s="389" t="s">
        <v>347</v>
      </c>
    </row>
    <row r="106" spans="3:19">
      <c r="C106" s="1"/>
      <c r="D106" s="2"/>
      <c r="E106" s="1"/>
      <c r="F106" s="1"/>
      <c r="G106" s="1"/>
      <c r="H106" s="1"/>
      <c r="I106" s="3"/>
      <c r="J106" s="1"/>
      <c r="K106" s="4"/>
      <c r="L106" s="1"/>
      <c r="M106" s="1"/>
      <c r="N106" s="1"/>
      <c r="O106" s="1"/>
      <c r="P106" s="1"/>
      <c r="Q106" s="4"/>
      <c r="R106" s="489">
        <v>0</v>
      </c>
      <c r="S106" s="389" t="s">
        <v>1</v>
      </c>
    </row>
    <row r="107" spans="3:19">
      <c r="C107" s="1"/>
      <c r="D107" s="2"/>
      <c r="E107" s="1"/>
      <c r="F107" s="1"/>
      <c r="G107" s="1"/>
      <c r="H107" s="1"/>
      <c r="I107" s="3"/>
      <c r="J107" s="1"/>
      <c r="K107" s="4"/>
      <c r="L107" s="1"/>
      <c r="M107" s="1"/>
      <c r="N107" s="1"/>
      <c r="O107" s="1"/>
      <c r="P107" s="1"/>
      <c r="Q107" s="4"/>
      <c r="R107" s="390">
        <v>0.51618961502275151</v>
      </c>
      <c r="S107" s="391" t="s">
        <v>104</v>
      </c>
    </row>
    <row r="108" spans="3:19">
      <c r="C108" s="1"/>
      <c r="D108" s="2"/>
      <c r="E108" s="1"/>
      <c r="F108" s="1"/>
      <c r="G108" s="1"/>
      <c r="H108" s="1"/>
      <c r="I108" s="3"/>
      <c r="J108" s="1"/>
      <c r="K108" s="4"/>
      <c r="L108" s="1"/>
      <c r="M108" s="1"/>
      <c r="N108" s="1"/>
      <c r="O108" s="1"/>
      <c r="P108" s="1"/>
      <c r="Q108" s="4"/>
      <c r="R108" s="392">
        <v>4.5871001067944304E-2</v>
      </c>
      <c r="S108" s="391" t="s">
        <v>105</v>
      </c>
    </row>
    <row r="109" spans="3:19">
      <c r="C109" s="1"/>
      <c r="D109" s="2"/>
      <c r="E109" s="1"/>
      <c r="F109" s="1"/>
      <c r="G109" s="1"/>
      <c r="H109" s="1"/>
      <c r="I109" s="3"/>
      <c r="J109" s="1"/>
      <c r="K109" s="4"/>
      <c r="L109" s="1"/>
      <c r="M109" s="1"/>
      <c r="N109" s="1"/>
      <c r="O109" s="1"/>
      <c r="P109" s="1"/>
      <c r="Q109" s="4"/>
      <c r="R109" s="390">
        <v>0</v>
      </c>
      <c r="S109" s="391" t="s">
        <v>106</v>
      </c>
    </row>
    <row r="110" spans="3:19">
      <c r="C110" s="1"/>
      <c r="D110" s="2"/>
      <c r="E110" s="1"/>
      <c r="F110" s="1"/>
      <c r="G110" s="1"/>
      <c r="H110" s="1"/>
      <c r="I110" s="3"/>
      <c r="J110" s="1"/>
      <c r="K110" s="4"/>
      <c r="L110" s="1"/>
      <c r="M110" s="1"/>
      <c r="N110" s="1"/>
      <c r="O110" s="1"/>
      <c r="P110" s="1"/>
      <c r="Q110" s="4"/>
      <c r="R110" s="392">
        <v>0</v>
      </c>
      <c r="S110" s="391" t="s">
        <v>107</v>
      </c>
    </row>
    <row r="111" spans="3:19">
      <c r="C111" s="1"/>
      <c r="D111" s="2"/>
      <c r="E111" s="1"/>
      <c r="F111" s="1"/>
      <c r="G111" s="1"/>
      <c r="H111" s="1"/>
      <c r="I111" s="3"/>
      <c r="J111" s="1"/>
      <c r="K111" s="4"/>
      <c r="L111" s="1"/>
      <c r="M111" s="1"/>
      <c r="N111" s="1"/>
      <c r="O111" s="1"/>
      <c r="P111" s="1"/>
      <c r="Q111" s="4"/>
      <c r="R111" s="390">
        <v>0.48381038497724849</v>
      </c>
      <c r="S111" s="393" t="s">
        <v>108</v>
      </c>
    </row>
    <row r="112" spans="3:19">
      <c r="C112" s="1"/>
      <c r="D112" s="2"/>
      <c r="E112" s="1"/>
      <c r="F112" s="1"/>
      <c r="G112" s="1"/>
      <c r="H112" s="1"/>
      <c r="I112" s="3"/>
      <c r="J112" s="1"/>
      <c r="K112" s="4"/>
      <c r="L112" s="1"/>
      <c r="M112" s="1"/>
      <c r="N112" s="1"/>
      <c r="O112" s="1"/>
      <c r="P112" s="1"/>
      <c r="Q112" s="4"/>
      <c r="R112" s="394">
        <v>454662284.99494523</v>
      </c>
      <c r="S112" s="395" t="s">
        <v>222</v>
      </c>
    </row>
    <row r="113" spans="3:19">
      <c r="C113" s="1"/>
      <c r="D113" s="2"/>
      <c r="E113" s="1"/>
      <c r="F113" s="1"/>
      <c r="G113" s="1"/>
      <c r="H113" s="1"/>
      <c r="I113" s="3"/>
      <c r="J113" s="1"/>
      <c r="K113" s="4"/>
      <c r="L113" s="1"/>
      <c r="M113" s="1"/>
      <c r="N113" s="1"/>
      <c r="O113" s="1"/>
      <c r="P113" s="1"/>
      <c r="Q113" s="4"/>
      <c r="R113" s="396">
        <v>0.38568499999999994</v>
      </c>
      <c r="S113" s="244" t="s">
        <v>348</v>
      </c>
    </row>
    <row r="114" spans="3:19">
      <c r="C114" s="1"/>
      <c r="D114" s="2"/>
      <c r="E114" s="1"/>
      <c r="F114" s="1"/>
      <c r="G114" s="1"/>
      <c r="H114" s="1"/>
      <c r="I114" s="3"/>
      <c r="J114" s="1"/>
      <c r="K114" s="4"/>
      <c r="L114" s="1"/>
      <c r="M114" s="1"/>
      <c r="N114" s="1"/>
      <c r="O114" s="1"/>
      <c r="P114" s="1"/>
      <c r="Q114" s="4"/>
      <c r="R114" s="394">
        <v>-487039.39732408116</v>
      </c>
      <c r="S114" s="244" t="s">
        <v>349</v>
      </c>
    </row>
    <row r="115" spans="3:19">
      <c r="C115" s="1"/>
      <c r="D115" s="2"/>
      <c r="E115" s="1"/>
      <c r="F115" s="1"/>
      <c r="G115" s="1"/>
      <c r="H115" s="1"/>
      <c r="I115" s="3"/>
      <c r="J115" s="1"/>
      <c r="K115" s="4"/>
      <c r="L115" s="1"/>
      <c r="M115" s="1"/>
      <c r="N115" s="1"/>
      <c r="O115" s="1"/>
      <c r="Q115" s="4"/>
      <c r="R115" s="394">
        <v>0</v>
      </c>
      <c r="S115" s="244" t="s">
        <v>274</v>
      </c>
    </row>
    <row r="116" spans="3:19">
      <c r="C116" s="1"/>
      <c r="D116" s="2"/>
      <c r="E116" s="1"/>
      <c r="F116" s="1"/>
      <c r="G116" s="1"/>
      <c r="H116" s="1"/>
      <c r="I116" s="3"/>
      <c r="J116" s="1"/>
      <c r="K116" s="4"/>
      <c r="L116" s="1"/>
      <c r="M116" s="1"/>
      <c r="N116" s="1"/>
      <c r="O116" s="1"/>
      <c r="Q116" s="4"/>
      <c r="R116" s="394">
        <v>0</v>
      </c>
      <c r="S116" s="244" t="s">
        <v>275</v>
      </c>
    </row>
    <row r="117" spans="3:19">
      <c r="C117" s="1"/>
      <c r="D117" s="2"/>
      <c r="E117" s="1"/>
      <c r="F117" s="1"/>
      <c r="G117" s="1"/>
      <c r="H117" s="1"/>
      <c r="I117" s="3"/>
      <c r="J117" s="1"/>
      <c r="K117" s="4"/>
      <c r="L117" s="1"/>
      <c r="M117" s="1"/>
      <c r="N117" s="1"/>
      <c r="O117" s="1"/>
      <c r="P117" s="1"/>
      <c r="Q117" s="4"/>
      <c r="R117" s="394">
        <v>94283133.637234092</v>
      </c>
      <c r="S117" s="244" t="s">
        <v>350</v>
      </c>
    </row>
    <row r="118" spans="3:19">
      <c r="C118" s="1"/>
      <c r="D118" s="2"/>
      <c r="E118" s="1"/>
      <c r="F118" s="1"/>
      <c r="G118" s="1"/>
      <c r="H118" s="1"/>
      <c r="I118" s="3"/>
      <c r="J118" s="1"/>
      <c r="K118" s="4"/>
      <c r="L118" s="1"/>
      <c r="M118" s="1"/>
      <c r="N118" s="1"/>
      <c r="O118" s="1"/>
      <c r="P118" s="1"/>
      <c r="Q118" s="4"/>
      <c r="R118" s="394">
        <v>35402232.217984505</v>
      </c>
      <c r="S118" s="244" t="s">
        <v>351</v>
      </c>
    </row>
    <row r="119" spans="3:19">
      <c r="C119" s="1"/>
      <c r="D119" s="2"/>
      <c r="E119" s="1"/>
      <c r="F119" s="1"/>
      <c r="G119" s="1"/>
      <c r="H119" s="1"/>
      <c r="I119" s="3"/>
      <c r="J119" s="1"/>
      <c r="K119" s="4"/>
      <c r="L119" s="1"/>
      <c r="M119" s="1"/>
      <c r="N119" s="1"/>
      <c r="O119" s="1"/>
      <c r="P119" s="1"/>
      <c r="Q119" s="4"/>
      <c r="R119" s="394">
        <v>14980590.361454505</v>
      </c>
      <c r="S119" s="244" t="s">
        <v>352</v>
      </c>
    </row>
    <row r="120" spans="3:19">
      <c r="C120" s="1"/>
      <c r="D120" s="2"/>
      <c r="E120" s="1"/>
      <c r="F120" s="1"/>
      <c r="G120" s="1"/>
      <c r="H120" s="1"/>
      <c r="I120" s="3"/>
      <c r="J120" s="1"/>
      <c r="K120" s="4"/>
      <c r="L120" s="1"/>
      <c r="M120" s="1"/>
      <c r="N120" s="1"/>
      <c r="O120" s="1"/>
      <c r="P120" s="1"/>
      <c r="Q120" s="4"/>
      <c r="R120" s="394">
        <v>0</v>
      </c>
      <c r="S120" s="244" t="s">
        <v>353</v>
      </c>
    </row>
    <row r="121" spans="3:19">
      <c r="C121" s="1"/>
      <c r="D121" s="2"/>
      <c r="E121" s="1"/>
      <c r="F121" s="1"/>
      <c r="G121" s="1"/>
      <c r="H121" s="1"/>
      <c r="I121" s="3"/>
      <c r="J121" s="1"/>
      <c r="K121" s="4"/>
      <c r="L121" s="1"/>
      <c r="M121" s="1"/>
      <c r="N121" s="1"/>
      <c r="O121" s="1"/>
      <c r="P121" s="1"/>
      <c r="Q121" s="4"/>
      <c r="R121" s="394">
        <v>17165640.823174316</v>
      </c>
      <c r="S121" s="244" t="s">
        <v>354</v>
      </c>
    </row>
    <row r="122" spans="3:19">
      <c r="C122" s="1"/>
      <c r="D122" s="2"/>
      <c r="E122" s="1"/>
      <c r="F122" s="1"/>
      <c r="G122" s="1"/>
      <c r="H122" s="1"/>
      <c r="I122" s="3"/>
      <c r="J122" s="1"/>
      <c r="K122" s="4"/>
      <c r="L122" s="1"/>
      <c r="M122" s="1"/>
      <c r="N122" s="1"/>
      <c r="O122" s="1"/>
      <c r="P122" s="1"/>
      <c r="Q122" s="4"/>
      <c r="R122" s="396">
        <v>0</v>
      </c>
      <c r="S122" s="244" t="s">
        <v>113</v>
      </c>
    </row>
    <row r="123" spans="3:19">
      <c r="C123" s="1"/>
      <c r="D123" s="2"/>
      <c r="E123" s="1"/>
      <c r="F123" s="1"/>
      <c r="G123" s="1"/>
      <c r="H123" s="1"/>
      <c r="I123" s="3"/>
      <c r="J123" s="1"/>
      <c r="K123" s="4"/>
      <c r="L123" s="1"/>
      <c r="M123" s="1"/>
      <c r="N123" s="1"/>
      <c r="O123" s="1"/>
      <c r="P123" s="1"/>
      <c r="Q123" s="4"/>
      <c r="R123" s="394">
        <v>607930310.73895669</v>
      </c>
      <c r="S123" s="244" t="s">
        <v>223</v>
      </c>
    </row>
    <row r="124" spans="3:19">
      <c r="C124" s="1"/>
      <c r="D124" s="2"/>
      <c r="E124" s="1"/>
      <c r="F124" s="1"/>
      <c r="G124" s="1"/>
      <c r="H124" s="1"/>
      <c r="I124" s="3"/>
      <c r="J124" s="1"/>
      <c r="K124" s="4"/>
      <c r="L124" s="1"/>
      <c r="M124" s="1"/>
      <c r="N124" s="1"/>
      <c r="O124" s="1"/>
      <c r="P124" s="1"/>
      <c r="Q124" s="4"/>
      <c r="R124" s="396">
        <v>0.12685252150089582</v>
      </c>
      <c r="S124" s="397" t="s">
        <v>224</v>
      </c>
    </row>
    <row r="125" spans="3:19">
      <c r="C125" s="1"/>
      <c r="D125" s="2"/>
      <c r="E125" s="1"/>
      <c r="F125" s="1"/>
      <c r="G125" s="1"/>
      <c r="H125" s="1"/>
      <c r="I125" s="3"/>
      <c r="J125" s="1"/>
      <c r="K125" s="4"/>
      <c r="L125" s="1"/>
      <c r="M125" s="1"/>
      <c r="N125" s="1"/>
      <c r="O125" s="1"/>
      <c r="P125" s="1"/>
      <c r="Q125" s="4"/>
      <c r="R125" s="398">
        <v>832778192</v>
      </c>
      <c r="S125" s="391" t="s">
        <v>32</v>
      </c>
    </row>
    <row r="126" spans="3:19">
      <c r="C126" s="1"/>
      <c r="D126" s="2"/>
      <c r="E126" s="1"/>
      <c r="F126" s="1"/>
      <c r="G126" s="1"/>
      <c r="H126" s="1"/>
      <c r="I126" s="3"/>
      <c r="J126" s="1"/>
      <c r="K126" s="4"/>
      <c r="L126" s="1"/>
      <c r="M126" s="1"/>
      <c r="N126" s="1"/>
      <c r="O126" s="1"/>
      <c r="P126" s="1"/>
      <c r="Q126" s="4"/>
      <c r="R126" s="399">
        <v>858822495</v>
      </c>
      <c r="S126" s="393" t="s">
        <v>33</v>
      </c>
    </row>
    <row r="127" spans="3:19">
      <c r="C127" s="1"/>
      <c r="D127" s="2"/>
      <c r="E127" s="1"/>
      <c r="F127" s="1"/>
      <c r="G127" s="1"/>
      <c r="H127" s="1"/>
      <c r="I127" s="3"/>
      <c r="J127" s="1"/>
      <c r="K127" s="4"/>
      <c r="L127" s="1"/>
      <c r="M127" s="1"/>
      <c r="N127" s="1"/>
      <c r="O127" s="1"/>
      <c r="P127" s="1"/>
      <c r="Q127" s="4"/>
      <c r="R127" s="400"/>
      <c r="S127" s="401" t="s">
        <v>355</v>
      </c>
    </row>
    <row r="128" spans="3:19" ht="13.5" thickBot="1">
      <c r="C128" s="1"/>
      <c r="D128" s="2"/>
      <c r="E128" s="1"/>
      <c r="F128" s="1"/>
      <c r="G128" s="1"/>
      <c r="H128" s="1"/>
      <c r="I128" s="3"/>
      <c r="J128" s="1"/>
      <c r="K128" s="4"/>
      <c r="L128" s="1"/>
      <c r="M128" s="1"/>
      <c r="N128" s="1"/>
      <c r="O128" s="1"/>
      <c r="P128" s="1"/>
      <c r="Q128" s="4"/>
      <c r="R128" s="402">
        <v>18413996</v>
      </c>
      <c r="S128" s="245" t="s">
        <v>356</v>
      </c>
    </row>
    <row r="129" spans="3:19">
      <c r="C129" s="1"/>
      <c r="D129" s="2"/>
      <c r="E129" s="1"/>
      <c r="F129" s="1"/>
      <c r="G129" s="1"/>
      <c r="H129" s="1"/>
      <c r="I129" s="3"/>
      <c r="J129" s="1"/>
      <c r="K129" s="4"/>
      <c r="L129" s="1"/>
      <c r="M129" s="1"/>
      <c r="N129" s="1"/>
      <c r="O129" s="1"/>
      <c r="P129" s="1"/>
      <c r="Q129" s="4"/>
      <c r="R129" s="1"/>
      <c r="S129" s="1"/>
    </row>
    <row r="130" spans="3:19">
      <c r="C130" s="1"/>
      <c r="D130" s="2"/>
      <c r="E130" s="1"/>
      <c r="F130" s="1"/>
      <c r="G130" s="1"/>
      <c r="H130" s="1"/>
      <c r="I130" s="3"/>
      <c r="J130" s="1"/>
      <c r="K130" s="4"/>
      <c r="L130" s="1"/>
      <c r="M130" s="1"/>
      <c r="N130" s="1"/>
      <c r="O130" s="1"/>
      <c r="P130" s="1"/>
      <c r="Q130" s="4"/>
      <c r="R130" s="233" t="s">
        <v>111</v>
      </c>
      <c r="S130" s="1" t="s">
        <v>125</v>
      </c>
    </row>
    <row r="131" spans="3:19" ht="13.5" thickBot="1">
      <c r="C131" s="1"/>
      <c r="D131" s="2"/>
      <c r="E131" s="1"/>
      <c r="F131" s="1"/>
      <c r="G131" s="1"/>
      <c r="H131" s="1"/>
      <c r="I131" s="3"/>
      <c r="J131" s="1"/>
      <c r="K131" s="4"/>
      <c r="L131" s="1"/>
      <c r="M131" s="1"/>
      <c r="N131" s="1"/>
      <c r="O131" s="1"/>
      <c r="P131" s="1"/>
      <c r="Q131" s="4"/>
      <c r="R131" s="235" t="s">
        <v>129</v>
      </c>
      <c r="S131" s="1"/>
    </row>
    <row r="132" spans="3:19">
      <c r="C132" s="1"/>
      <c r="D132" s="2"/>
      <c r="E132" s="1"/>
      <c r="F132" s="1"/>
      <c r="G132" s="1"/>
      <c r="H132" s="1"/>
      <c r="I132" s="3"/>
      <c r="J132" s="1"/>
      <c r="K132" s="4"/>
      <c r="L132" s="1"/>
      <c r="M132" s="1"/>
      <c r="N132" s="1"/>
      <c r="O132" s="1"/>
      <c r="P132" s="1"/>
      <c r="Q132" s="4"/>
      <c r="R132" s="237">
        <f>+N17</f>
        <v>6729904.4711072175</v>
      </c>
      <c r="S132" t="s">
        <v>131</v>
      </c>
    </row>
    <row r="133" spans="3:19">
      <c r="C133" s="1"/>
      <c r="D133" s="2"/>
      <c r="E133" s="1"/>
      <c r="F133" s="1"/>
      <c r="G133" s="1"/>
      <c r="H133" s="1"/>
      <c r="I133" s="3"/>
      <c r="J133" s="1"/>
      <c r="K133" s="4"/>
      <c r="L133" s="1"/>
      <c r="M133" s="1"/>
      <c r="N133" s="1"/>
      <c r="O133" s="1"/>
      <c r="P133" s="1"/>
      <c r="Q133" s="4"/>
      <c r="R133" s="238">
        <f>+O17</f>
        <v>6729904.4711072175</v>
      </c>
      <c r="S133" t="s">
        <v>132</v>
      </c>
    </row>
    <row r="134" spans="3:19">
      <c r="C134" s="1"/>
      <c r="D134" s="2"/>
      <c r="E134" s="1"/>
      <c r="F134" s="1"/>
      <c r="G134" s="1"/>
      <c r="H134" s="1"/>
      <c r="I134" s="3"/>
      <c r="J134" s="1"/>
      <c r="K134" s="4"/>
      <c r="L134" s="1"/>
      <c r="M134" s="1"/>
      <c r="N134" s="1"/>
      <c r="O134" s="1"/>
      <c r="P134" s="1"/>
      <c r="Q134" s="4"/>
      <c r="R134" s="242">
        <f>+N18</f>
        <v>6814046.4098945772</v>
      </c>
      <c r="S134" t="s">
        <v>133</v>
      </c>
    </row>
    <row r="135" spans="3:19" ht="13.5" thickBot="1">
      <c r="C135" s="1"/>
      <c r="D135" s="2"/>
      <c r="E135" s="1"/>
      <c r="F135" s="1"/>
      <c r="G135" s="1"/>
      <c r="H135" s="1"/>
      <c r="I135" s="3"/>
      <c r="J135" s="1"/>
      <c r="K135" s="4"/>
      <c r="L135" s="1"/>
      <c r="M135" s="1"/>
      <c r="N135" s="1"/>
      <c r="O135" s="1"/>
      <c r="P135" s="1"/>
      <c r="Q135" s="4"/>
      <c r="R135" s="239">
        <f>+O18</f>
        <v>6814046.4098945772</v>
      </c>
      <c r="S135" t="s">
        <v>134</v>
      </c>
    </row>
    <row r="136" spans="3:19">
      <c r="C136" s="1"/>
      <c r="D136" s="2"/>
      <c r="E136" s="1"/>
      <c r="F136" s="1"/>
      <c r="G136" s="1"/>
      <c r="H136" s="1"/>
      <c r="I136" s="3"/>
      <c r="J136" s="1"/>
      <c r="K136" s="4"/>
      <c r="L136" s="1"/>
      <c r="M136" s="1"/>
      <c r="N136" s="1"/>
      <c r="O136" s="1"/>
      <c r="P136" s="1"/>
      <c r="Q136" s="4"/>
      <c r="R136" s="1"/>
      <c r="S136" s="1"/>
    </row>
    <row r="137" spans="3:19">
      <c r="C137" s="1"/>
      <c r="D137" s="2"/>
      <c r="E137" s="1"/>
      <c r="F137" s="1"/>
      <c r="G137" s="1"/>
      <c r="H137" s="1"/>
      <c r="I137" s="3"/>
      <c r="J137" s="1"/>
      <c r="K137" s="4"/>
      <c r="L137" s="1"/>
      <c r="M137" s="1"/>
      <c r="N137" s="1"/>
      <c r="O137" s="1"/>
      <c r="P137" s="1"/>
      <c r="Q137" s="4"/>
      <c r="R137" s="233" t="s">
        <v>123</v>
      </c>
      <c r="S137" s="232" t="s">
        <v>128</v>
      </c>
    </row>
  </sheetData>
  <mergeCells count="6">
    <mergeCell ref="C8:I8"/>
    <mergeCell ref="A1:K1"/>
    <mergeCell ref="A2:K2"/>
    <mergeCell ref="A3:K3"/>
    <mergeCell ref="A4:K4"/>
    <mergeCell ref="A5:K5"/>
  </mergeCells>
  <phoneticPr fontId="0" type="noConversion"/>
  <printOptions horizontalCentered="1"/>
  <pageMargins left="0.25" right="0.25" top="0.75" bottom="0.25" header="0.25" footer="0.5"/>
  <pageSetup scale="41" fitToHeight="5" orientation="landscape" r:id="rId1"/>
  <headerFooter alignWithMargins="0">
    <oddHeader xml:space="preserve">&amp;R&amp;16AEP - SPP Formula Rate
PSO TCOS - WS G
Page: &amp;P of &amp;N
</oddHeader>
    <oddFooter xml:space="preserve">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0" zoomScaleNormal="70" workbookViewId="0"/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27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237362.06354922196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237362.06354922196</v>
      </c>
      <c r="O6" s="1"/>
      <c r="P6" s="1"/>
    </row>
    <row r="7" spans="1:16" ht="13.5" thickBot="1">
      <c r="C7" s="127" t="s">
        <v>41</v>
      </c>
      <c r="D7" s="486" t="s">
        <v>341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340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4120000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2019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103000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2019</v>
      </c>
      <c r="D17" s="484">
        <v>0</v>
      </c>
      <c r="E17" s="485">
        <v>0</v>
      </c>
      <c r="F17" s="163">
        <f>IF(D11=C17,+D10-E17,+D17-E17)</f>
        <v>4120000</v>
      </c>
      <c r="G17" s="159">
        <f>(D17+F17)/2*I$12+E17</f>
        <v>237362.06354922196</v>
      </c>
      <c r="H17" s="147">
        <f>+(D17+F17)/2*I$13+E17</f>
        <v>237362.06354922196</v>
      </c>
      <c r="I17" s="160">
        <f t="shared" ref="I17:I72" si="0">H17-G17</f>
        <v>0</v>
      </c>
      <c r="J17" s="160"/>
      <c r="K17" s="337">
        <v>0</v>
      </c>
      <c r="L17" s="161">
        <f t="shared" ref="L17:L72" si="1">IF(K17&lt;&gt;0,+G17-K17,0)</f>
        <v>0</v>
      </c>
      <c r="M17" s="337">
        <v>0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2020</v>
      </c>
      <c r="D18" s="166">
        <f>IF(F17+SUM(E$17:E17)=D$10,F17,D$10-SUM(E$17:E17))</f>
        <v>4120000</v>
      </c>
      <c r="E18" s="164">
        <f t="shared" ref="E18:E72" si="4">IF(+I$14&lt;F17,I$14,D18)</f>
        <v>103000</v>
      </c>
      <c r="F18" s="163">
        <f t="shared" ref="F18:F72" si="5">+D18-E18</f>
        <v>4017000</v>
      </c>
      <c r="G18" s="165">
        <f t="shared" ref="G18:G72" si="6">(D18+F18)/2*I$12+E18</f>
        <v>571790.07550971326</v>
      </c>
      <c r="H18" s="147">
        <f t="shared" ref="H18:H72" si="7">+(D18+F18)/2*I$13+E18</f>
        <v>571790.07550971326</v>
      </c>
      <c r="I18" s="160">
        <f t="shared" si="0"/>
        <v>0</v>
      </c>
      <c r="J18" s="160"/>
      <c r="K18" s="335"/>
      <c r="L18" s="162">
        <f t="shared" si="1"/>
        <v>0</v>
      </c>
      <c r="M18" s="335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2021</v>
      </c>
      <c r="D19" s="166">
        <f>IF(F18+SUM(E$17:E18)=D$10,F18,D$10-SUM(E$17:E18))</f>
        <v>4017000</v>
      </c>
      <c r="E19" s="164">
        <f t="shared" si="4"/>
        <v>103000</v>
      </c>
      <c r="F19" s="163">
        <f t="shared" si="5"/>
        <v>3914000</v>
      </c>
      <c r="G19" s="165">
        <f t="shared" si="6"/>
        <v>559921.97233225219</v>
      </c>
      <c r="H19" s="147">
        <f t="shared" si="7"/>
        <v>559921.97233225219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2022</v>
      </c>
      <c r="D20" s="166">
        <f>IF(F19+SUM(E$17:E19)=D$10,F19,D$10-SUM(E$17:E19))</f>
        <v>3914000</v>
      </c>
      <c r="E20" s="164">
        <f t="shared" si="4"/>
        <v>103000</v>
      </c>
      <c r="F20" s="163">
        <f t="shared" si="5"/>
        <v>3811000</v>
      </c>
      <c r="G20" s="165">
        <f t="shared" si="6"/>
        <v>548053.86915479111</v>
      </c>
      <c r="H20" s="147">
        <f t="shared" si="7"/>
        <v>548053.86915479111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2023</v>
      </c>
      <c r="D21" s="166">
        <f>IF(F20+SUM(E$17:E20)=D$10,F20,D$10-SUM(E$17:E20))</f>
        <v>3811000</v>
      </c>
      <c r="E21" s="164">
        <f t="shared" si="4"/>
        <v>103000</v>
      </c>
      <c r="F21" s="163">
        <f t="shared" si="5"/>
        <v>3708000</v>
      </c>
      <c r="G21" s="165">
        <f t="shared" si="6"/>
        <v>536185.76597733004</v>
      </c>
      <c r="H21" s="147">
        <f t="shared" si="7"/>
        <v>536185.76597733004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2024</v>
      </c>
      <c r="D22" s="166">
        <f>IF(F21+SUM(E$17:E21)=D$10,F21,D$10-SUM(E$17:E21))</f>
        <v>3708000</v>
      </c>
      <c r="E22" s="164">
        <f t="shared" si="4"/>
        <v>103000</v>
      </c>
      <c r="F22" s="163">
        <f t="shared" si="5"/>
        <v>3605000</v>
      </c>
      <c r="G22" s="165">
        <f t="shared" si="6"/>
        <v>524317.66279986897</v>
      </c>
      <c r="H22" s="147">
        <f t="shared" si="7"/>
        <v>524317.66279986897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2025</v>
      </c>
      <c r="D23" s="166">
        <f>IF(F22+SUM(E$17:E22)=D$10,F22,D$10-SUM(E$17:E22))</f>
        <v>3605000</v>
      </c>
      <c r="E23" s="164">
        <f t="shared" si="4"/>
        <v>103000</v>
      </c>
      <c r="F23" s="163">
        <f t="shared" si="5"/>
        <v>3502000</v>
      </c>
      <c r="G23" s="165">
        <f t="shared" si="6"/>
        <v>512449.55962240783</v>
      </c>
      <c r="H23" s="147">
        <f t="shared" si="7"/>
        <v>512449.55962240783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2026</v>
      </c>
      <c r="D24" s="166">
        <f>IF(F23+SUM(E$17:E23)=D$10,F23,D$10-SUM(E$17:E23))</f>
        <v>3502000</v>
      </c>
      <c r="E24" s="164">
        <f t="shared" si="4"/>
        <v>103000</v>
      </c>
      <c r="F24" s="163">
        <f t="shared" si="5"/>
        <v>3399000</v>
      </c>
      <c r="G24" s="165">
        <f t="shared" si="6"/>
        <v>500581.45644494676</v>
      </c>
      <c r="H24" s="147">
        <f t="shared" si="7"/>
        <v>500581.45644494676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2027</v>
      </c>
      <c r="D25" s="166">
        <f>IF(F24+SUM(E$17:E24)=D$10,F24,D$10-SUM(E$17:E24))</f>
        <v>3399000</v>
      </c>
      <c r="E25" s="164">
        <f t="shared" si="4"/>
        <v>103000</v>
      </c>
      <c r="F25" s="163">
        <f t="shared" si="5"/>
        <v>3296000</v>
      </c>
      <c r="G25" s="165">
        <f t="shared" si="6"/>
        <v>488713.35326748568</v>
      </c>
      <c r="H25" s="147">
        <f t="shared" si="7"/>
        <v>488713.35326748568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2028</v>
      </c>
      <c r="D26" s="166">
        <f>IF(F25+SUM(E$17:E25)=D$10,F25,D$10-SUM(E$17:E25))</f>
        <v>3296000</v>
      </c>
      <c r="E26" s="164">
        <f t="shared" si="4"/>
        <v>103000</v>
      </c>
      <c r="F26" s="163">
        <f t="shared" si="5"/>
        <v>3193000</v>
      </c>
      <c r="G26" s="165">
        <f t="shared" si="6"/>
        <v>476845.25009002455</v>
      </c>
      <c r="H26" s="147">
        <f t="shared" si="7"/>
        <v>476845.25009002455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2029</v>
      </c>
      <c r="D27" s="166">
        <f>IF(F26+SUM(E$17:E26)=D$10,F26,D$10-SUM(E$17:E26))</f>
        <v>3193000</v>
      </c>
      <c r="E27" s="164">
        <f t="shared" si="4"/>
        <v>103000</v>
      </c>
      <c r="F27" s="163">
        <f t="shared" si="5"/>
        <v>3090000</v>
      </c>
      <c r="G27" s="165">
        <f t="shared" si="6"/>
        <v>464977.14691256348</v>
      </c>
      <c r="H27" s="147">
        <f t="shared" si="7"/>
        <v>464977.14691256348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2030</v>
      </c>
      <c r="D28" s="166">
        <f>IF(F27+SUM(E$17:E27)=D$10,F27,D$10-SUM(E$17:E27))</f>
        <v>3090000</v>
      </c>
      <c r="E28" s="164">
        <f t="shared" si="4"/>
        <v>103000</v>
      </c>
      <c r="F28" s="163">
        <f t="shared" si="5"/>
        <v>2987000</v>
      </c>
      <c r="G28" s="165">
        <f t="shared" si="6"/>
        <v>453109.0437351024</v>
      </c>
      <c r="H28" s="147">
        <f t="shared" si="7"/>
        <v>453109.0437351024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2031</v>
      </c>
      <c r="D29" s="166">
        <f>IF(F28+SUM(E$17:E28)=D$10,F28,D$10-SUM(E$17:E28))</f>
        <v>2987000</v>
      </c>
      <c r="E29" s="164">
        <f t="shared" si="4"/>
        <v>103000</v>
      </c>
      <c r="F29" s="163">
        <f t="shared" si="5"/>
        <v>2884000</v>
      </c>
      <c r="G29" s="165">
        <f t="shared" si="6"/>
        <v>441240.94055764127</v>
      </c>
      <c r="H29" s="147">
        <f t="shared" si="7"/>
        <v>441240.94055764127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2032</v>
      </c>
      <c r="D30" s="166">
        <f>IF(F29+SUM(E$17:E29)=D$10,F29,D$10-SUM(E$17:E29))</f>
        <v>2884000</v>
      </c>
      <c r="E30" s="164">
        <f t="shared" si="4"/>
        <v>103000</v>
      </c>
      <c r="F30" s="163">
        <f t="shared" si="5"/>
        <v>2781000</v>
      </c>
      <c r="G30" s="165">
        <f t="shared" si="6"/>
        <v>429372.83738018019</v>
      </c>
      <c r="H30" s="147">
        <f t="shared" si="7"/>
        <v>429372.83738018019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2033</v>
      </c>
      <c r="D31" s="166">
        <f>IF(F30+SUM(E$17:E30)=D$10,F30,D$10-SUM(E$17:E30))</f>
        <v>2781000</v>
      </c>
      <c r="E31" s="164">
        <f t="shared" si="4"/>
        <v>103000</v>
      </c>
      <c r="F31" s="163">
        <f t="shared" si="5"/>
        <v>2678000</v>
      </c>
      <c r="G31" s="165">
        <f t="shared" si="6"/>
        <v>417504.73420271906</v>
      </c>
      <c r="H31" s="147">
        <f t="shared" si="7"/>
        <v>417504.73420271906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2034</v>
      </c>
      <c r="D32" s="166">
        <f>IF(F31+SUM(E$17:E31)=D$10,F31,D$10-SUM(E$17:E31))</f>
        <v>2678000</v>
      </c>
      <c r="E32" s="164">
        <f t="shared" si="4"/>
        <v>103000</v>
      </c>
      <c r="F32" s="163">
        <f t="shared" si="5"/>
        <v>2575000</v>
      </c>
      <c r="G32" s="165">
        <f t="shared" si="6"/>
        <v>405636.63102525799</v>
      </c>
      <c r="H32" s="147">
        <f t="shared" si="7"/>
        <v>405636.63102525799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2035</v>
      </c>
      <c r="D33" s="166">
        <f>IF(F32+SUM(E$17:E32)=D$10,F32,D$10-SUM(E$17:E32))</f>
        <v>2575000</v>
      </c>
      <c r="E33" s="164">
        <f t="shared" si="4"/>
        <v>103000</v>
      </c>
      <c r="F33" s="163">
        <f t="shared" si="5"/>
        <v>2472000</v>
      </c>
      <c r="G33" s="165">
        <f t="shared" si="6"/>
        <v>393768.52784779691</v>
      </c>
      <c r="H33" s="147">
        <f t="shared" si="7"/>
        <v>393768.52784779691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2036</v>
      </c>
      <c r="D34" s="166">
        <f>IF(F33+SUM(E$17:E33)=D$10,F33,D$10-SUM(E$17:E33))</f>
        <v>2472000</v>
      </c>
      <c r="E34" s="164">
        <f t="shared" si="4"/>
        <v>103000</v>
      </c>
      <c r="F34" s="163">
        <f t="shared" si="5"/>
        <v>2369000</v>
      </c>
      <c r="G34" s="165">
        <f t="shared" si="6"/>
        <v>381900.42467033578</v>
      </c>
      <c r="H34" s="147">
        <f t="shared" si="7"/>
        <v>381900.42467033578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2037</v>
      </c>
      <c r="D35" s="166">
        <f>IF(F34+SUM(E$17:E34)=D$10,F34,D$10-SUM(E$17:E34))</f>
        <v>2369000</v>
      </c>
      <c r="E35" s="164">
        <f t="shared" si="4"/>
        <v>103000</v>
      </c>
      <c r="F35" s="163">
        <f t="shared" si="5"/>
        <v>2266000</v>
      </c>
      <c r="G35" s="165">
        <f t="shared" si="6"/>
        <v>370032.3214928747</v>
      </c>
      <c r="H35" s="147">
        <f t="shared" si="7"/>
        <v>370032.3214928747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2038</v>
      </c>
      <c r="D36" s="166">
        <f>IF(F35+SUM(E$17:E35)=D$10,F35,D$10-SUM(E$17:E35))</f>
        <v>2266000</v>
      </c>
      <c r="E36" s="164">
        <f t="shared" si="4"/>
        <v>103000</v>
      </c>
      <c r="F36" s="163">
        <f t="shared" si="5"/>
        <v>2163000</v>
      </c>
      <c r="G36" s="165">
        <f t="shared" si="6"/>
        <v>358164.21831541357</v>
      </c>
      <c r="H36" s="147">
        <f t="shared" si="7"/>
        <v>358164.21831541357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2039</v>
      </c>
      <c r="D37" s="166">
        <f>IF(F36+SUM(E$17:E36)=D$10,F36,D$10-SUM(E$17:E36))</f>
        <v>2163000</v>
      </c>
      <c r="E37" s="164">
        <f t="shared" si="4"/>
        <v>103000</v>
      </c>
      <c r="F37" s="163">
        <f t="shared" si="5"/>
        <v>2060000</v>
      </c>
      <c r="G37" s="165">
        <f t="shared" si="6"/>
        <v>346296.1151379525</v>
      </c>
      <c r="H37" s="147">
        <f t="shared" si="7"/>
        <v>346296.1151379525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2040</v>
      </c>
      <c r="D38" s="166">
        <f>IF(F37+SUM(E$17:E37)=D$10,F37,D$10-SUM(E$17:E37))</f>
        <v>2060000</v>
      </c>
      <c r="E38" s="164">
        <f t="shared" si="4"/>
        <v>103000</v>
      </c>
      <c r="F38" s="163">
        <f t="shared" si="5"/>
        <v>1957000</v>
      </c>
      <c r="G38" s="165">
        <f t="shared" si="6"/>
        <v>334428.01196049142</v>
      </c>
      <c r="H38" s="147">
        <f t="shared" si="7"/>
        <v>334428.01196049142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2041</v>
      </c>
      <c r="D39" s="166">
        <f>IF(F38+SUM(E$17:E38)=D$10,F38,D$10-SUM(E$17:E38))</f>
        <v>1957000</v>
      </c>
      <c r="E39" s="164">
        <f t="shared" si="4"/>
        <v>103000</v>
      </c>
      <c r="F39" s="163">
        <f t="shared" si="5"/>
        <v>1854000</v>
      </c>
      <c r="G39" s="165">
        <f t="shared" si="6"/>
        <v>322559.90878303029</v>
      </c>
      <c r="H39" s="147">
        <f t="shared" si="7"/>
        <v>322559.90878303029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2042</v>
      </c>
      <c r="D40" s="166">
        <f>IF(F39+SUM(E$17:E39)=D$10,F39,D$10-SUM(E$17:E39))</f>
        <v>1854000</v>
      </c>
      <c r="E40" s="164">
        <f t="shared" si="4"/>
        <v>103000</v>
      </c>
      <c r="F40" s="163">
        <f t="shared" si="5"/>
        <v>1751000</v>
      </c>
      <c r="G40" s="165">
        <f t="shared" si="6"/>
        <v>310691.80560556921</v>
      </c>
      <c r="H40" s="147">
        <f t="shared" si="7"/>
        <v>310691.80560556921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2043</v>
      </c>
      <c r="D41" s="166">
        <f>IF(F40+SUM(E$17:E40)=D$10,F40,D$10-SUM(E$17:E40))</f>
        <v>1751000</v>
      </c>
      <c r="E41" s="164">
        <f t="shared" si="4"/>
        <v>103000</v>
      </c>
      <c r="F41" s="163">
        <f t="shared" si="5"/>
        <v>1648000</v>
      </c>
      <c r="G41" s="165">
        <f t="shared" si="6"/>
        <v>298823.70242810808</v>
      </c>
      <c r="H41" s="147">
        <f t="shared" si="7"/>
        <v>298823.70242810808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2044</v>
      </c>
      <c r="D42" s="166">
        <f>IF(F41+SUM(E$17:E41)=D$10,F41,D$10-SUM(E$17:E41))</f>
        <v>1648000</v>
      </c>
      <c r="E42" s="164">
        <f t="shared" si="4"/>
        <v>103000</v>
      </c>
      <c r="F42" s="163">
        <f t="shared" si="5"/>
        <v>1545000</v>
      </c>
      <c r="G42" s="165">
        <f t="shared" si="6"/>
        <v>286955.59925064701</v>
      </c>
      <c r="H42" s="147">
        <f t="shared" si="7"/>
        <v>286955.59925064701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2045</v>
      </c>
      <c r="D43" s="166">
        <f>IF(F42+SUM(E$17:E42)=D$10,F42,D$10-SUM(E$17:E42))</f>
        <v>1545000</v>
      </c>
      <c r="E43" s="164">
        <f t="shared" si="4"/>
        <v>103000</v>
      </c>
      <c r="F43" s="163">
        <f t="shared" si="5"/>
        <v>1442000</v>
      </c>
      <c r="G43" s="165">
        <f t="shared" si="6"/>
        <v>275087.49607318593</v>
      </c>
      <c r="H43" s="147">
        <f t="shared" si="7"/>
        <v>275087.49607318593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2046</v>
      </c>
      <c r="D44" s="166">
        <f>IF(F43+SUM(E$17:E43)=D$10,F43,D$10-SUM(E$17:E43))</f>
        <v>1442000</v>
      </c>
      <c r="E44" s="164">
        <f t="shared" si="4"/>
        <v>103000</v>
      </c>
      <c r="F44" s="163">
        <f t="shared" si="5"/>
        <v>1339000</v>
      </c>
      <c r="G44" s="165">
        <f t="shared" si="6"/>
        <v>263219.39289572486</v>
      </c>
      <c r="H44" s="147">
        <f t="shared" si="7"/>
        <v>263219.39289572486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2047</v>
      </c>
      <c r="D45" s="166">
        <f>IF(F44+SUM(E$17:E44)=D$10,F44,D$10-SUM(E$17:E44))</f>
        <v>1339000</v>
      </c>
      <c r="E45" s="164">
        <f t="shared" si="4"/>
        <v>103000</v>
      </c>
      <c r="F45" s="163">
        <f t="shared" si="5"/>
        <v>1236000</v>
      </c>
      <c r="G45" s="165">
        <f t="shared" si="6"/>
        <v>251351.28971826372</v>
      </c>
      <c r="H45" s="147">
        <f t="shared" si="7"/>
        <v>251351.28971826372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2048</v>
      </c>
      <c r="D46" s="166">
        <f>IF(F45+SUM(E$17:E45)=D$10,F45,D$10-SUM(E$17:E45))</f>
        <v>1236000</v>
      </c>
      <c r="E46" s="164">
        <f t="shared" si="4"/>
        <v>103000</v>
      </c>
      <c r="F46" s="163">
        <f t="shared" si="5"/>
        <v>1133000</v>
      </c>
      <c r="G46" s="165">
        <f t="shared" si="6"/>
        <v>239483.18654080262</v>
      </c>
      <c r="H46" s="147">
        <f t="shared" si="7"/>
        <v>239483.18654080262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2049</v>
      </c>
      <c r="D47" s="166">
        <f>IF(F46+SUM(E$17:E46)=D$10,F46,D$10-SUM(E$17:E46))</f>
        <v>1133000</v>
      </c>
      <c r="E47" s="164">
        <f t="shared" si="4"/>
        <v>103000</v>
      </c>
      <c r="F47" s="163">
        <f t="shared" si="5"/>
        <v>1030000</v>
      </c>
      <c r="G47" s="165">
        <f t="shared" si="6"/>
        <v>227615.08336334152</v>
      </c>
      <c r="H47" s="147">
        <f t="shared" si="7"/>
        <v>227615.08336334152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2050</v>
      </c>
      <c r="D48" s="166">
        <f>IF(F47+SUM(E$17:E47)=D$10,F47,D$10-SUM(E$17:E47))</f>
        <v>1030000</v>
      </c>
      <c r="E48" s="164">
        <f t="shared" si="4"/>
        <v>103000</v>
      </c>
      <c r="F48" s="163">
        <f t="shared" si="5"/>
        <v>927000</v>
      </c>
      <c r="G48" s="165">
        <f t="shared" si="6"/>
        <v>215746.98018588044</v>
      </c>
      <c r="H48" s="147">
        <f t="shared" si="7"/>
        <v>215746.98018588044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2051</v>
      </c>
      <c r="D49" s="166">
        <f>IF(F48+SUM(E$17:E48)=D$10,F48,D$10-SUM(E$17:E48))</f>
        <v>927000</v>
      </c>
      <c r="E49" s="164">
        <f t="shared" si="4"/>
        <v>103000</v>
      </c>
      <c r="F49" s="163">
        <f t="shared" si="5"/>
        <v>824000</v>
      </c>
      <c r="G49" s="165">
        <f t="shared" si="6"/>
        <v>203878.87700841931</v>
      </c>
      <c r="H49" s="147">
        <f t="shared" si="7"/>
        <v>203878.87700841931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2052</v>
      </c>
      <c r="D50" s="166">
        <f>IF(F49+SUM(E$17:E49)=D$10,F49,D$10-SUM(E$17:E49))</f>
        <v>824000</v>
      </c>
      <c r="E50" s="164">
        <f t="shared" si="4"/>
        <v>103000</v>
      </c>
      <c r="F50" s="163">
        <f t="shared" si="5"/>
        <v>721000</v>
      </c>
      <c r="G50" s="165">
        <f t="shared" si="6"/>
        <v>192010.77383095823</v>
      </c>
      <c r="H50" s="147">
        <f t="shared" si="7"/>
        <v>192010.77383095823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2053</v>
      </c>
      <c r="D51" s="166">
        <f>IF(F50+SUM(E$17:E50)=D$10,F50,D$10-SUM(E$17:E50))</f>
        <v>721000</v>
      </c>
      <c r="E51" s="164">
        <f t="shared" si="4"/>
        <v>103000</v>
      </c>
      <c r="F51" s="163">
        <f t="shared" si="5"/>
        <v>618000</v>
      </c>
      <c r="G51" s="165">
        <f t="shared" si="6"/>
        <v>180142.67065349713</v>
      </c>
      <c r="H51" s="147">
        <f t="shared" si="7"/>
        <v>180142.67065349713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2054</v>
      </c>
      <c r="D52" s="166">
        <f>IF(F51+SUM(E$17:E51)=D$10,F51,D$10-SUM(E$17:E51))</f>
        <v>618000</v>
      </c>
      <c r="E52" s="164">
        <f t="shared" si="4"/>
        <v>103000</v>
      </c>
      <c r="F52" s="163">
        <f t="shared" si="5"/>
        <v>515000</v>
      </c>
      <c r="G52" s="165">
        <f t="shared" si="6"/>
        <v>168274.56747603603</v>
      </c>
      <c r="H52" s="147">
        <f t="shared" si="7"/>
        <v>168274.56747603603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2055</v>
      </c>
      <c r="D53" s="166">
        <f>IF(F52+SUM(E$17:E52)=D$10,F52,D$10-SUM(E$17:E52))</f>
        <v>515000</v>
      </c>
      <c r="E53" s="164">
        <f t="shared" si="4"/>
        <v>103000</v>
      </c>
      <c r="F53" s="163">
        <f t="shared" si="5"/>
        <v>412000</v>
      </c>
      <c r="G53" s="165">
        <f t="shared" si="6"/>
        <v>156406.46429857495</v>
      </c>
      <c r="H53" s="147">
        <f t="shared" si="7"/>
        <v>156406.46429857495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2056</v>
      </c>
      <c r="D54" s="166">
        <f>IF(F53+SUM(E$17:E53)=D$10,F53,D$10-SUM(E$17:E53))</f>
        <v>412000</v>
      </c>
      <c r="E54" s="164">
        <f t="shared" si="4"/>
        <v>103000</v>
      </c>
      <c r="F54" s="163">
        <f t="shared" si="5"/>
        <v>309000</v>
      </c>
      <c r="G54" s="165">
        <f t="shared" si="6"/>
        <v>144538.36112111385</v>
      </c>
      <c r="H54" s="147">
        <f t="shared" si="7"/>
        <v>144538.36112111385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2057</v>
      </c>
      <c r="D55" s="166">
        <f>IF(F54+SUM(E$17:E54)=D$10,F54,D$10-SUM(E$17:E54))</f>
        <v>309000</v>
      </c>
      <c r="E55" s="164">
        <f t="shared" si="4"/>
        <v>103000</v>
      </c>
      <c r="F55" s="163">
        <f t="shared" si="5"/>
        <v>206000</v>
      </c>
      <c r="G55" s="165">
        <f t="shared" si="6"/>
        <v>132670.25794365274</v>
      </c>
      <c r="H55" s="147">
        <f t="shared" si="7"/>
        <v>132670.25794365274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2058</v>
      </c>
      <c r="D56" s="166">
        <f>IF(F55+SUM(E$17:E55)=D$10,F55,D$10-SUM(E$17:E55))</f>
        <v>206000</v>
      </c>
      <c r="E56" s="164">
        <f t="shared" si="4"/>
        <v>103000</v>
      </c>
      <c r="F56" s="163">
        <f t="shared" si="5"/>
        <v>103000</v>
      </c>
      <c r="G56" s="165">
        <f t="shared" si="6"/>
        <v>120802.15476619164</v>
      </c>
      <c r="H56" s="147">
        <f t="shared" si="7"/>
        <v>120802.15476619164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2059</v>
      </c>
      <c r="D57" s="166">
        <f>IF(F56+SUM(E$17:E56)=D$10,F56,D$10-SUM(E$17:E56))</f>
        <v>103000</v>
      </c>
      <c r="E57" s="164">
        <f t="shared" si="4"/>
        <v>103000</v>
      </c>
      <c r="F57" s="163">
        <f t="shared" si="5"/>
        <v>0</v>
      </c>
      <c r="G57" s="165">
        <f t="shared" si="6"/>
        <v>108934.05158873055</v>
      </c>
      <c r="H57" s="147">
        <f t="shared" si="7"/>
        <v>108934.05158873055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2060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2061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2062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2063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2064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2065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2066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2067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2068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2069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2070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2071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2072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2073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2074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4120000</v>
      </c>
      <c r="F73" s="115"/>
      <c r="G73" s="115">
        <f>SUM(G17:G72)</f>
        <v>13851844.605518099</v>
      </c>
      <c r="H73" s="115">
        <f>SUM(H17:H72)</f>
        <v>13851844.605518099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27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Broken Arrow North-Lynn Lane East 138 kV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 t="str">
        <f>IF(D11=I10,"",D11)</f>
        <v/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 t="str">
        <f>IF(D11=I10,"",D12)</f>
        <v/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51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 t="str">
        <f>IF(D93= "","-",D93)</f>
        <v>-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 t="shared" ref="H99:H154" si="9">+J$94*G99+E99</f>
        <v>0</v>
      </c>
      <c r="I99" s="218">
        <f>+J$95*G99+E99</f>
        <v>0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 t="str">
        <f>IF(D93="","-",+C99+1)</f>
        <v>-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33">
        <f t="shared" si="9"/>
        <v>0</v>
      </c>
      <c r="I100" s="344">
        <f t="shared" ref="I100:I154" si="14">+J$95*G100+E100</f>
        <v>0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 t="str">
        <f>IF(D93="","-",+C100+1)</f>
        <v>-</v>
      </c>
      <c r="D101" s="158">
        <f>IF(F100+SUM(E$99:E100)=D$92,F100,D$92-SUM(E$99:E100))</f>
        <v>0</v>
      </c>
      <c r="E101" s="164">
        <f t="shared" ref="E101:E154" si="16">IF(+J$96&lt;F100,J$96,D101)</f>
        <v>0</v>
      </c>
      <c r="F101" s="163">
        <f t="shared" ref="F101:F154" si="17">+D101-E101</f>
        <v>0</v>
      </c>
      <c r="G101" s="163">
        <f t="shared" ref="G101:G154" si="18">+(F101+D101)/2</f>
        <v>0</v>
      </c>
      <c r="H101" s="333">
        <f t="shared" si="9"/>
        <v>0</v>
      </c>
      <c r="I101" s="344">
        <f t="shared" si="14"/>
        <v>0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 t="str">
        <f>IF(D93="","-",+C101+1)</f>
        <v>-</v>
      </c>
      <c r="D102" s="158">
        <f>IF(F101+SUM(E$99:E101)=D$92,F101,D$92-SUM(E$99:E101))</f>
        <v>0</v>
      </c>
      <c r="E102" s="164">
        <f t="shared" si="16"/>
        <v>0</v>
      </c>
      <c r="F102" s="163">
        <f t="shared" si="17"/>
        <v>0</v>
      </c>
      <c r="G102" s="163">
        <f t="shared" si="18"/>
        <v>0</v>
      </c>
      <c r="H102" s="333">
        <f t="shared" si="9"/>
        <v>0</v>
      </c>
      <c r="I102" s="344">
        <f t="shared" si="14"/>
        <v>0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 t="str">
        <f>IF(D93="","-",+C102+1)</f>
        <v>-</v>
      </c>
      <c r="D103" s="158">
        <f>IF(F102+SUM(E$99:E102)=D$92,F102,D$92-SUM(E$99:E102))</f>
        <v>0</v>
      </c>
      <c r="E103" s="164">
        <f t="shared" si="16"/>
        <v>0</v>
      </c>
      <c r="F103" s="163">
        <f t="shared" si="17"/>
        <v>0</v>
      </c>
      <c r="G103" s="163">
        <f t="shared" si="18"/>
        <v>0</v>
      </c>
      <c r="H103" s="333">
        <f t="shared" si="9"/>
        <v>0</v>
      </c>
      <c r="I103" s="344">
        <f t="shared" si="14"/>
        <v>0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 t="str">
        <f>IF(D93="","-",+C103+1)</f>
        <v>-</v>
      </c>
      <c r="D104" s="158">
        <f>IF(F103+SUM(E$99:E103)=D$92,F103,D$92-SUM(E$99:E103))</f>
        <v>0</v>
      </c>
      <c r="E104" s="164">
        <f t="shared" si="16"/>
        <v>0</v>
      </c>
      <c r="F104" s="163">
        <f t="shared" si="17"/>
        <v>0</v>
      </c>
      <c r="G104" s="163">
        <f t="shared" si="18"/>
        <v>0</v>
      </c>
      <c r="H104" s="333">
        <f t="shared" si="9"/>
        <v>0</v>
      </c>
      <c r="I104" s="344">
        <f t="shared" si="14"/>
        <v>0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 t="str">
        <f>IF(D93="","-",+C104+1)</f>
        <v>-</v>
      </c>
      <c r="D105" s="158">
        <f>IF(F104+SUM(E$99:E104)=D$92,F104,D$92-SUM(E$99:E104))</f>
        <v>0</v>
      </c>
      <c r="E105" s="164">
        <f t="shared" si="16"/>
        <v>0</v>
      </c>
      <c r="F105" s="163">
        <f t="shared" si="17"/>
        <v>0</v>
      </c>
      <c r="G105" s="163">
        <f t="shared" si="18"/>
        <v>0</v>
      </c>
      <c r="H105" s="333">
        <f t="shared" si="9"/>
        <v>0</v>
      </c>
      <c r="I105" s="344">
        <f t="shared" si="14"/>
        <v>0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 t="str">
        <f>IF(D93="","-",+C105+1)</f>
        <v>-</v>
      </c>
      <c r="D106" s="158">
        <f>IF(F105+SUM(E$99:E105)=D$92,F105,D$92-SUM(E$99:E105))</f>
        <v>0</v>
      </c>
      <c r="E106" s="164">
        <f t="shared" si="16"/>
        <v>0</v>
      </c>
      <c r="F106" s="163">
        <f t="shared" si="17"/>
        <v>0</v>
      </c>
      <c r="G106" s="163">
        <f t="shared" si="18"/>
        <v>0</v>
      </c>
      <c r="H106" s="333">
        <f t="shared" si="9"/>
        <v>0</v>
      </c>
      <c r="I106" s="344">
        <f t="shared" si="14"/>
        <v>0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 t="str">
        <f>IF(D93="","-",+C106+1)</f>
        <v>-</v>
      </c>
      <c r="D107" s="158">
        <f>IF(F106+SUM(E$99:E106)=D$92,F106,D$92-SUM(E$99:E106))</f>
        <v>0</v>
      </c>
      <c r="E107" s="164">
        <f t="shared" si="16"/>
        <v>0</v>
      </c>
      <c r="F107" s="163">
        <f t="shared" si="17"/>
        <v>0</v>
      </c>
      <c r="G107" s="163">
        <f t="shared" si="18"/>
        <v>0</v>
      </c>
      <c r="H107" s="333">
        <f t="shared" si="9"/>
        <v>0</v>
      </c>
      <c r="I107" s="344">
        <f t="shared" si="14"/>
        <v>0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 t="str">
        <f>IF(D93="","-",+C107+1)</f>
        <v>-</v>
      </c>
      <c r="D108" s="158">
        <f>IF(F107+SUM(E$99:E107)=D$92,F107,D$92-SUM(E$99:E107))</f>
        <v>0</v>
      </c>
      <c r="E108" s="164">
        <f t="shared" si="16"/>
        <v>0</v>
      </c>
      <c r="F108" s="163">
        <f t="shared" si="17"/>
        <v>0</v>
      </c>
      <c r="G108" s="163">
        <f t="shared" si="18"/>
        <v>0</v>
      </c>
      <c r="H108" s="333">
        <f t="shared" si="9"/>
        <v>0</v>
      </c>
      <c r="I108" s="344">
        <f t="shared" si="14"/>
        <v>0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 t="str">
        <f>IF(D93="","-",+C108+1)</f>
        <v>-</v>
      </c>
      <c r="D109" s="158">
        <f>IF(F108+SUM(E$99:E108)=D$92,F108,D$92-SUM(E$99:E108))</f>
        <v>0</v>
      </c>
      <c r="E109" s="164">
        <f t="shared" si="16"/>
        <v>0</v>
      </c>
      <c r="F109" s="163">
        <f t="shared" si="17"/>
        <v>0</v>
      </c>
      <c r="G109" s="163">
        <f t="shared" si="18"/>
        <v>0</v>
      </c>
      <c r="H109" s="333">
        <f t="shared" si="9"/>
        <v>0</v>
      </c>
      <c r="I109" s="344">
        <f t="shared" si="14"/>
        <v>0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 t="str">
        <f>IF(D93="","-",+C109+1)</f>
        <v>-</v>
      </c>
      <c r="D110" s="158">
        <f>IF(F109+SUM(E$99:E109)=D$92,F109,D$92-SUM(E$99:E109))</f>
        <v>0</v>
      </c>
      <c r="E110" s="164">
        <f t="shared" si="16"/>
        <v>0</v>
      </c>
      <c r="F110" s="163">
        <f t="shared" si="17"/>
        <v>0</v>
      </c>
      <c r="G110" s="163">
        <f t="shared" si="18"/>
        <v>0</v>
      </c>
      <c r="H110" s="333">
        <f t="shared" si="9"/>
        <v>0</v>
      </c>
      <c r="I110" s="344">
        <f t="shared" si="14"/>
        <v>0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 t="str">
        <f>IF(D93="","-",+C110+1)</f>
        <v>-</v>
      </c>
      <c r="D111" s="158">
        <f>IF(F110+SUM(E$99:E110)=D$92,F110,D$92-SUM(E$99:E110))</f>
        <v>0</v>
      </c>
      <c r="E111" s="164">
        <f t="shared" si="16"/>
        <v>0</v>
      </c>
      <c r="F111" s="163">
        <f t="shared" si="17"/>
        <v>0</v>
      </c>
      <c r="G111" s="163">
        <f t="shared" si="18"/>
        <v>0</v>
      </c>
      <c r="H111" s="333">
        <f t="shared" si="9"/>
        <v>0</v>
      </c>
      <c r="I111" s="344">
        <f t="shared" si="14"/>
        <v>0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 t="str">
        <f>IF(D93="","-",+C111+1)</f>
        <v>-</v>
      </c>
      <c r="D112" s="158">
        <f>IF(F111+SUM(E$99:E111)=D$92,F111,D$92-SUM(E$99:E111))</f>
        <v>0</v>
      </c>
      <c r="E112" s="164">
        <f t="shared" si="16"/>
        <v>0</v>
      </c>
      <c r="F112" s="163">
        <f t="shared" si="17"/>
        <v>0</v>
      </c>
      <c r="G112" s="163">
        <f t="shared" si="18"/>
        <v>0</v>
      </c>
      <c r="H112" s="333">
        <f t="shared" si="9"/>
        <v>0</v>
      </c>
      <c r="I112" s="344">
        <f t="shared" si="14"/>
        <v>0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 t="str">
        <f>IF(D93="","-",+C112+1)</f>
        <v>-</v>
      </c>
      <c r="D113" s="158">
        <f>IF(F112+SUM(E$99:E112)=D$92,F112,D$92-SUM(E$99:E112))</f>
        <v>0</v>
      </c>
      <c r="E113" s="164">
        <f t="shared" si="16"/>
        <v>0</v>
      </c>
      <c r="F113" s="163">
        <f t="shared" si="17"/>
        <v>0</v>
      </c>
      <c r="G113" s="163">
        <f t="shared" si="18"/>
        <v>0</v>
      </c>
      <c r="H113" s="333">
        <f t="shared" si="9"/>
        <v>0</v>
      </c>
      <c r="I113" s="344">
        <f t="shared" si="14"/>
        <v>0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 t="str">
        <f>IF(D93="","-",+C113+1)</f>
        <v>-</v>
      </c>
      <c r="D114" s="158">
        <f>IF(F113+SUM(E$99:E113)=D$92,F113,D$92-SUM(E$99:E113))</f>
        <v>0</v>
      </c>
      <c r="E114" s="164">
        <f t="shared" si="16"/>
        <v>0</v>
      </c>
      <c r="F114" s="163">
        <f t="shared" si="17"/>
        <v>0</v>
      </c>
      <c r="G114" s="163">
        <f t="shared" si="18"/>
        <v>0</v>
      </c>
      <c r="H114" s="333">
        <f t="shared" si="9"/>
        <v>0</v>
      </c>
      <c r="I114" s="344">
        <f t="shared" si="14"/>
        <v>0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 t="str">
        <f>IF(D93="","-",+C114+1)</f>
        <v>-</v>
      </c>
      <c r="D115" s="158">
        <f>IF(F114+SUM(E$99:E114)=D$92,F114,D$92-SUM(E$99:E114))</f>
        <v>0</v>
      </c>
      <c r="E115" s="164">
        <f t="shared" si="16"/>
        <v>0</v>
      </c>
      <c r="F115" s="163">
        <f t="shared" si="17"/>
        <v>0</v>
      </c>
      <c r="G115" s="163">
        <f t="shared" si="18"/>
        <v>0</v>
      </c>
      <c r="H115" s="333">
        <f t="shared" si="9"/>
        <v>0</v>
      </c>
      <c r="I115" s="344">
        <f t="shared" si="14"/>
        <v>0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 t="str">
        <f>IF(D93="","-",+C115+1)</f>
        <v>-</v>
      </c>
      <c r="D116" s="158">
        <f>IF(F115+SUM(E$99:E115)=D$92,F115,D$92-SUM(E$99:E115))</f>
        <v>0</v>
      </c>
      <c r="E116" s="164">
        <f t="shared" si="16"/>
        <v>0</v>
      </c>
      <c r="F116" s="163">
        <f t="shared" si="17"/>
        <v>0</v>
      </c>
      <c r="G116" s="163">
        <f t="shared" si="18"/>
        <v>0</v>
      </c>
      <c r="H116" s="333">
        <f t="shared" si="9"/>
        <v>0</v>
      </c>
      <c r="I116" s="344">
        <f t="shared" si="14"/>
        <v>0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 t="str">
        <f>IF(D93="","-",+C116+1)</f>
        <v>-</v>
      </c>
      <c r="D117" s="158">
        <f>IF(F116+SUM(E$99:E116)=D$92,F116,D$92-SUM(E$99:E116))</f>
        <v>0</v>
      </c>
      <c r="E117" s="164">
        <f t="shared" si="16"/>
        <v>0</v>
      </c>
      <c r="F117" s="163">
        <f t="shared" si="17"/>
        <v>0</v>
      </c>
      <c r="G117" s="163">
        <f t="shared" si="18"/>
        <v>0</v>
      </c>
      <c r="H117" s="333">
        <f t="shared" si="9"/>
        <v>0</v>
      </c>
      <c r="I117" s="344">
        <f t="shared" si="14"/>
        <v>0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 t="str">
        <f>IF(D93="","-",+C117+1)</f>
        <v>-</v>
      </c>
      <c r="D118" s="158">
        <f>IF(F117+SUM(E$99:E117)=D$92,F117,D$92-SUM(E$99:E117))</f>
        <v>0</v>
      </c>
      <c r="E118" s="164">
        <f t="shared" si="16"/>
        <v>0</v>
      </c>
      <c r="F118" s="163">
        <f t="shared" si="17"/>
        <v>0</v>
      </c>
      <c r="G118" s="163">
        <f t="shared" si="18"/>
        <v>0</v>
      </c>
      <c r="H118" s="333">
        <f t="shared" si="9"/>
        <v>0</v>
      </c>
      <c r="I118" s="344">
        <f t="shared" si="14"/>
        <v>0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 t="str">
        <f>IF(D93="","-",+C118+1)</f>
        <v>-</v>
      </c>
      <c r="D119" s="158">
        <f>IF(F118+SUM(E$99:E118)=D$92,F118,D$92-SUM(E$99:E118))</f>
        <v>0</v>
      </c>
      <c r="E119" s="164">
        <f t="shared" si="16"/>
        <v>0</v>
      </c>
      <c r="F119" s="163">
        <f t="shared" si="17"/>
        <v>0</v>
      </c>
      <c r="G119" s="163">
        <f t="shared" si="18"/>
        <v>0</v>
      </c>
      <c r="H119" s="333">
        <f t="shared" si="9"/>
        <v>0</v>
      </c>
      <c r="I119" s="344">
        <f t="shared" si="14"/>
        <v>0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 t="str">
        <f>IF(D93="","-",+C119+1)</f>
        <v>-</v>
      </c>
      <c r="D120" s="158">
        <f>IF(F119+SUM(E$99:E119)=D$92,F119,D$92-SUM(E$99:E119))</f>
        <v>0</v>
      </c>
      <c r="E120" s="164">
        <f t="shared" si="16"/>
        <v>0</v>
      </c>
      <c r="F120" s="163">
        <f t="shared" si="17"/>
        <v>0</v>
      </c>
      <c r="G120" s="163">
        <f t="shared" si="18"/>
        <v>0</v>
      </c>
      <c r="H120" s="333">
        <f t="shared" si="9"/>
        <v>0</v>
      </c>
      <c r="I120" s="344">
        <f t="shared" si="14"/>
        <v>0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 t="str">
        <f>IF(D93="","-",+C120+1)</f>
        <v>-</v>
      </c>
      <c r="D121" s="158">
        <f>IF(F120+SUM(E$99:E120)=D$92,F120,D$92-SUM(E$99:E120))</f>
        <v>0</v>
      </c>
      <c r="E121" s="164">
        <f t="shared" si="16"/>
        <v>0</v>
      </c>
      <c r="F121" s="163">
        <f t="shared" si="17"/>
        <v>0</v>
      </c>
      <c r="G121" s="163">
        <f t="shared" si="18"/>
        <v>0</v>
      </c>
      <c r="H121" s="333">
        <f t="shared" si="9"/>
        <v>0</v>
      </c>
      <c r="I121" s="344">
        <f t="shared" si="14"/>
        <v>0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 t="str">
        <f>IF(D93="","-",+C121+1)</f>
        <v>-</v>
      </c>
      <c r="D122" s="158">
        <f>IF(F121+SUM(E$99:E121)=D$92,F121,D$92-SUM(E$99:E121))</f>
        <v>0</v>
      </c>
      <c r="E122" s="164">
        <f t="shared" si="16"/>
        <v>0</v>
      </c>
      <c r="F122" s="163">
        <f t="shared" si="17"/>
        <v>0</v>
      </c>
      <c r="G122" s="163">
        <f t="shared" si="18"/>
        <v>0</v>
      </c>
      <c r="H122" s="333">
        <f t="shared" si="9"/>
        <v>0</v>
      </c>
      <c r="I122" s="344">
        <f t="shared" si="14"/>
        <v>0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 t="str">
        <f>IF(D93="","-",+C122+1)</f>
        <v>-</v>
      </c>
      <c r="D123" s="158">
        <f>IF(F122+SUM(E$99:E122)=D$92,F122,D$92-SUM(E$99:E122))</f>
        <v>0</v>
      </c>
      <c r="E123" s="164">
        <f t="shared" si="16"/>
        <v>0</v>
      </c>
      <c r="F123" s="163">
        <f t="shared" si="17"/>
        <v>0</v>
      </c>
      <c r="G123" s="163">
        <f t="shared" si="18"/>
        <v>0</v>
      </c>
      <c r="H123" s="333">
        <f t="shared" si="9"/>
        <v>0</v>
      </c>
      <c r="I123" s="344">
        <f t="shared" si="14"/>
        <v>0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 t="str">
        <f>IF(D93="","-",+C123+1)</f>
        <v>-</v>
      </c>
      <c r="D124" s="158">
        <f>IF(F123+SUM(E$99:E123)=D$92,F123,D$92-SUM(E$99:E123))</f>
        <v>0</v>
      </c>
      <c r="E124" s="164">
        <f t="shared" si="16"/>
        <v>0</v>
      </c>
      <c r="F124" s="163">
        <f t="shared" si="17"/>
        <v>0</v>
      </c>
      <c r="G124" s="163">
        <f t="shared" si="18"/>
        <v>0</v>
      </c>
      <c r="H124" s="333">
        <f t="shared" si="9"/>
        <v>0</v>
      </c>
      <c r="I124" s="344">
        <f t="shared" si="14"/>
        <v>0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 t="str">
        <f>IF(D93="","-",+C124+1)</f>
        <v>-</v>
      </c>
      <c r="D125" s="158">
        <f>IF(F124+SUM(E$99:E124)=D$92,F124,D$92-SUM(E$99:E124))</f>
        <v>0</v>
      </c>
      <c r="E125" s="164">
        <f t="shared" si="16"/>
        <v>0</v>
      </c>
      <c r="F125" s="163">
        <f t="shared" si="17"/>
        <v>0</v>
      </c>
      <c r="G125" s="163">
        <f t="shared" si="18"/>
        <v>0</v>
      </c>
      <c r="H125" s="333">
        <f t="shared" si="9"/>
        <v>0</v>
      </c>
      <c r="I125" s="344">
        <f t="shared" si="14"/>
        <v>0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 t="str">
        <f>IF(D93="","-",+C125+1)</f>
        <v>-</v>
      </c>
      <c r="D126" s="158">
        <f>IF(F125+SUM(E$99:E125)=D$92,F125,D$92-SUM(E$99:E125))</f>
        <v>0</v>
      </c>
      <c r="E126" s="164">
        <f t="shared" si="16"/>
        <v>0</v>
      </c>
      <c r="F126" s="163">
        <f t="shared" si="17"/>
        <v>0</v>
      </c>
      <c r="G126" s="163">
        <f t="shared" si="18"/>
        <v>0</v>
      </c>
      <c r="H126" s="333">
        <f t="shared" si="9"/>
        <v>0</v>
      </c>
      <c r="I126" s="344">
        <f t="shared" si="14"/>
        <v>0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 t="str">
        <f>IF(D93="","-",+C126+1)</f>
        <v>-</v>
      </c>
      <c r="D127" s="158">
        <f>IF(F126+SUM(E$99:E126)=D$92,F126,D$92-SUM(E$99:E126))</f>
        <v>0</v>
      </c>
      <c r="E127" s="164">
        <f t="shared" si="16"/>
        <v>0</v>
      </c>
      <c r="F127" s="163">
        <f t="shared" si="17"/>
        <v>0</v>
      </c>
      <c r="G127" s="163">
        <f t="shared" si="18"/>
        <v>0</v>
      </c>
      <c r="H127" s="333">
        <f t="shared" si="9"/>
        <v>0</v>
      </c>
      <c r="I127" s="344">
        <f t="shared" si="14"/>
        <v>0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 t="str">
        <f>IF(D93="","-",+C127+1)</f>
        <v>-</v>
      </c>
      <c r="D128" s="158">
        <f>IF(F127+SUM(E$99:E127)=D$92,F127,D$92-SUM(E$99:E127))</f>
        <v>0</v>
      </c>
      <c r="E128" s="164">
        <f t="shared" si="16"/>
        <v>0</v>
      </c>
      <c r="F128" s="163">
        <f t="shared" si="17"/>
        <v>0</v>
      </c>
      <c r="G128" s="163">
        <f t="shared" si="18"/>
        <v>0</v>
      </c>
      <c r="H128" s="333">
        <f t="shared" si="9"/>
        <v>0</v>
      </c>
      <c r="I128" s="344">
        <f t="shared" si="14"/>
        <v>0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 t="str">
        <f>IF(D93="","-",+C128+1)</f>
        <v>-</v>
      </c>
      <c r="D129" s="158">
        <f>IF(F128+SUM(E$99:E128)=D$92,F128,D$92-SUM(E$99:E128))</f>
        <v>0</v>
      </c>
      <c r="E129" s="164">
        <f t="shared" si="16"/>
        <v>0</v>
      </c>
      <c r="F129" s="163">
        <f t="shared" si="17"/>
        <v>0</v>
      </c>
      <c r="G129" s="163">
        <f t="shared" si="18"/>
        <v>0</v>
      </c>
      <c r="H129" s="333">
        <f t="shared" si="9"/>
        <v>0</v>
      </c>
      <c r="I129" s="344">
        <f t="shared" si="14"/>
        <v>0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 t="str">
        <f>IF(D93="","-",+C129+1)</f>
        <v>-</v>
      </c>
      <c r="D130" s="158">
        <f>IF(F129+SUM(E$99:E129)=D$92,F129,D$92-SUM(E$99:E129))</f>
        <v>0</v>
      </c>
      <c r="E130" s="164">
        <f t="shared" si="16"/>
        <v>0</v>
      </c>
      <c r="F130" s="163">
        <f t="shared" si="17"/>
        <v>0</v>
      </c>
      <c r="G130" s="163">
        <f t="shared" si="18"/>
        <v>0</v>
      </c>
      <c r="H130" s="333">
        <f t="shared" si="9"/>
        <v>0</v>
      </c>
      <c r="I130" s="344">
        <f t="shared" si="14"/>
        <v>0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 t="str">
        <f>IF(D93="","-",+C130+1)</f>
        <v>-</v>
      </c>
      <c r="D131" s="158">
        <f>IF(F130+SUM(E$99:E130)=D$92,F130,D$92-SUM(E$99:E130))</f>
        <v>0</v>
      </c>
      <c r="E131" s="164">
        <f t="shared" si="16"/>
        <v>0</v>
      </c>
      <c r="F131" s="163">
        <f t="shared" si="17"/>
        <v>0</v>
      </c>
      <c r="G131" s="163">
        <f t="shared" si="18"/>
        <v>0</v>
      </c>
      <c r="H131" s="333">
        <f t="shared" si="9"/>
        <v>0</v>
      </c>
      <c r="I131" s="344">
        <f t="shared" si="14"/>
        <v>0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 t="str">
        <f>IF(D93="","-",+C131+1)</f>
        <v>-</v>
      </c>
      <c r="D132" s="158">
        <f>IF(F131+SUM(E$99:E131)=D$92,F131,D$92-SUM(E$99:E131))</f>
        <v>0</v>
      </c>
      <c r="E132" s="164">
        <f t="shared" si="16"/>
        <v>0</v>
      </c>
      <c r="F132" s="163">
        <f t="shared" si="17"/>
        <v>0</v>
      </c>
      <c r="G132" s="163">
        <f t="shared" si="18"/>
        <v>0</v>
      </c>
      <c r="H132" s="333">
        <f t="shared" si="9"/>
        <v>0</v>
      </c>
      <c r="I132" s="344">
        <f t="shared" si="14"/>
        <v>0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 t="str">
        <f>IF(D93="","-",+C132+1)</f>
        <v>-</v>
      </c>
      <c r="D133" s="158">
        <f>IF(F132+SUM(E$99:E132)=D$92,F132,D$92-SUM(E$99:E132))</f>
        <v>0</v>
      </c>
      <c r="E133" s="164">
        <f t="shared" si="16"/>
        <v>0</v>
      </c>
      <c r="F133" s="163">
        <f t="shared" si="17"/>
        <v>0</v>
      </c>
      <c r="G133" s="163">
        <f t="shared" si="18"/>
        <v>0</v>
      </c>
      <c r="H133" s="333">
        <f t="shared" si="9"/>
        <v>0</v>
      </c>
      <c r="I133" s="344">
        <f t="shared" si="14"/>
        <v>0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 t="str">
        <f>IF(D93="","-",+C133+1)</f>
        <v>-</v>
      </c>
      <c r="D134" s="158">
        <f>IF(F133+SUM(E$99:E133)=D$92,F133,D$92-SUM(E$99:E133))</f>
        <v>0</v>
      </c>
      <c r="E134" s="164">
        <f t="shared" si="16"/>
        <v>0</v>
      </c>
      <c r="F134" s="163">
        <f t="shared" si="17"/>
        <v>0</v>
      </c>
      <c r="G134" s="163">
        <f t="shared" si="18"/>
        <v>0</v>
      </c>
      <c r="H134" s="333">
        <f t="shared" si="9"/>
        <v>0</v>
      </c>
      <c r="I134" s="344">
        <f t="shared" si="14"/>
        <v>0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 t="str">
        <f>IF(D93="","-",+C134+1)</f>
        <v>-</v>
      </c>
      <c r="D135" s="158">
        <f>IF(F134+SUM(E$99:E134)=D$92,F134,D$92-SUM(E$99:E134))</f>
        <v>0</v>
      </c>
      <c r="E135" s="164">
        <f t="shared" si="16"/>
        <v>0</v>
      </c>
      <c r="F135" s="163">
        <f t="shared" si="17"/>
        <v>0</v>
      </c>
      <c r="G135" s="163">
        <f t="shared" si="18"/>
        <v>0</v>
      </c>
      <c r="H135" s="333">
        <f t="shared" si="9"/>
        <v>0</v>
      </c>
      <c r="I135" s="344">
        <f t="shared" si="14"/>
        <v>0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 t="str">
        <f>IF(D93="","-",+C135+1)</f>
        <v>-</v>
      </c>
      <c r="D136" s="158">
        <f>IF(F135+SUM(E$99:E135)=D$92,F135,D$92-SUM(E$99:E135))</f>
        <v>0</v>
      </c>
      <c r="E136" s="164">
        <f t="shared" si="16"/>
        <v>0</v>
      </c>
      <c r="F136" s="163">
        <f t="shared" si="17"/>
        <v>0</v>
      </c>
      <c r="G136" s="163">
        <f t="shared" si="18"/>
        <v>0</v>
      </c>
      <c r="H136" s="333">
        <f t="shared" si="9"/>
        <v>0</v>
      </c>
      <c r="I136" s="344">
        <f t="shared" si="14"/>
        <v>0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 t="str">
        <f>IF(D93="","-",+C136+1)</f>
        <v>-</v>
      </c>
      <c r="D137" s="158">
        <f>IF(F136+SUM(E$99:E136)=D$92,F136,D$92-SUM(E$99:E136))</f>
        <v>0</v>
      </c>
      <c r="E137" s="164">
        <f t="shared" si="16"/>
        <v>0</v>
      </c>
      <c r="F137" s="163">
        <f t="shared" si="17"/>
        <v>0</v>
      </c>
      <c r="G137" s="163">
        <f t="shared" si="18"/>
        <v>0</v>
      </c>
      <c r="H137" s="333">
        <f t="shared" si="9"/>
        <v>0</v>
      </c>
      <c r="I137" s="344">
        <f t="shared" si="14"/>
        <v>0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 t="str">
        <f>IF(D93="","-",+C137+1)</f>
        <v>-</v>
      </c>
      <c r="D138" s="158">
        <f>IF(F137+SUM(E$99:E137)=D$92,F137,D$92-SUM(E$99:E137))</f>
        <v>0</v>
      </c>
      <c r="E138" s="164">
        <f t="shared" si="16"/>
        <v>0</v>
      </c>
      <c r="F138" s="163">
        <f t="shared" si="17"/>
        <v>0</v>
      </c>
      <c r="G138" s="163">
        <f t="shared" si="18"/>
        <v>0</v>
      </c>
      <c r="H138" s="333">
        <f t="shared" si="9"/>
        <v>0</v>
      </c>
      <c r="I138" s="344">
        <f t="shared" si="14"/>
        <v>0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 t="str">
        <f>IF(D93="","-",+C138+1)</f>
        <v>-</v>
      </c>
      <c r="D139" s="158">
        <f>IF(F138+SUM(E$99:E138)=D$92,F138,D$92-SUM(E$99:E138))</f>
        <v>0</v>
      </c>
      <c r="E139" s="164">
        <f t="shared" si="16"/>
        <v>0</v>
      </c>
      <c r="F139" s="163">
        <f t="shared" si="17"/>
        <v>0</v>
      </c>
      <c r="G139" s="163">
        <f t="shared" si="18"/>
        <v>0</v>
      </c>
      <c r="H139" s="333">
        <f t="shared" si="9"/>
        <v>0</v>
      </c>
      <c r="I139" s="344">
        <f t="shared" si="14"/>
        <v>0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 t="str">
        <f>IF(D93="","-",+C139+1)</f>
        <v>-</v>
      </c>
      <c r="D140" s="158">
        <f>IF(F139+SUM(E$99:E139)=D$92,F139,D$92-SUM(E$99:E139))</f>
        <v>0</v>
      </c>
      <c r="E140" s="164">
        <f t="shared" si="16"/>
        <v>0</v>
      </c>
      <c r="F140" s="163">
        <f t="shared" si="17"/>
        <v>0</v>
      </c>
      <c r="G140" s="163">
        <f t="shared" si="18"/>
        <v>0</v>
      </c>
      <c r="H140" s="333">
        <f t="shared" si="9"/>
        <v>0</v>
      </c>
      <c r="I140" s="344">
        <f t="shared" si="14"/>
        <v>0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 t="str">
        <f>IF(D93="","-",+C140+1)</f>
        <v>-</v>
      </c>
      <c r="D141" s="158">
        <f>IF(F140+SUM(E$99:E140)=D$92,F140,D$92-SUM(E$99:E140))</f>
        <v>0</v>
      </c>
      <c r="E141" s="164">
        <f t="shared" si="16"/>
        <v>0</v>
      </c>
      <c r="F141" s="163">
        <f t="shared" si="17"/>
        <v>0</v>
      </c>
      <c r="G141" s="163">
        <f t="shared" si="18"/>
        <v>0</v>
      </c>
      <c r="H141" s="333">
        <f t="shared" si="9"/>
        <v>0</v>
      </c>
      <c r="I141" s="344">
        <f t="shared" si="14"/>
        <v>0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 t="str">
        <f>IF(D93="","-",+C141+1)</f>
        <v>-</v>
      </c>
      <c r="D142" s="158">
        <f>IF(F141+SUM(E$99:E141)=D$92,F141,D$92-SUM(E$99:E141))</f>
        <v>0</v>
      </c>
      <c r="E142" s="164">
        <f t="shared" si="16"/>
        <v>0</v>
      </c>
      <c r="F142" s="163">
        <f t="shared" si="17"/>
        <v>0</v>
      </c>
      <c r="G142" s="163">
        <f t="shared" si="18"/>
        <v>0</v>
      </c>
      <c r="H142" s="333">
        <f t="shared" si="9"/>
        <v>0</v>
      </c>
      <c r="I142" s="344">
        <f t="shared" si="14"/>
        <v>0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 t="str">
        <f>IF(D93="","-",+C142+1)</f>
        <v>-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33">
        <f t="shared" si="9"/>
        <v>0</v>
      </c>
      <c r="I143" s="344">
        <f t="shared" si="14"/>
        <v>0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 t="str">
        <f>IF(D93="","-",+C143+1)</f>
        <v>-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33">
        <f t="shared" si="9"/>
        <v>0</v>
      </c>
      <c r="I144" s="344">
        <f t="shared" si="14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 t="str">
        <f>IF(D93="","-",+C144+1)</f>
        <v>-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33">
        <f t="shared" si="9"/>
        <v>0</v>
      </c>
      <c r="I145" s="344">
        <f t="shared" si="14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 t="str">
        <f>IF(D93="","-",+C145+1)</f>
        <v>-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 t="str">
        <f>IF(D93="","-",+C146+1)</f>
        <v>-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 t="str">
        <f>IF(D93="","-",+C147+1)</f>
        <v>-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 t="str">
        <f>IF(D93="","-",+C148+1)</f>
        <v>-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 t="str">
        <f>IF(D93="","-",+C149+1)</f>
        <v>-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 t="str">
        <f>IF(D93="","-",+C150+1)</f>
        <v>-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 t="str">
        <f>IF(D93="","-",+C151+1)</f>
        <v>-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 t="str">
        <f>IF(D93="","-",+C152+1)</f>
        <v>-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 t="str">
        <f>IF(D93="","-",+C153+1)</f>
        <v>-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3" priority="1" stopIfTrue="1" operator="equal">
      <formula>$I$10</formula>
    </cfRule>
  </conditionalFormatting>
  <conditionalFormatting sqref="C99:C154">
    <cfRule type="cellIs" dxfId="2" priority="2" stopIfTrue="1" operator="equal">
      <formula>$J$92</formula>
    </cfRule>
  </conditionalFormatting>
  <pageMargins left="0.5" right="0.25" top="1" bottom="0.25" header="0.25" footer="0.5"/>
  <pageSetup scale="47" orientation="landscape" r:id="rId1"/>
  <rowBreaks count="1" manualBreakCount="1">
    <brk id="82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P162"/>
  <sheetViews>
    <sheetView view="pageBreakPreview" topLeftCell="A4" zoomScale="78" zoomScaleNormal="100" zoomScaleSheetLayoutView="78" workbookViewId="0">
      <selection activeCell="G17" sqref="G17:H17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nk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0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0</v>
      </c>
      <c r="O6" s="1"/>
      <c r="P6" s="1"/>
    </row>
    <row r="7" spans="1:16" ht="13.5" thickBot="1">
      <c r="C7" s="127" t="s">
        <v>41</v>
      </c>
      <c r="D7" s="227" t="s">
        <v>103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134"/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/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4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2017</v>
      </c>
      <c r="D17" s="158">
        <v>0</v>
      </c>
      <c r="E17" s="159">
        <f>IF(D10&gt;=100000,I$14/12*(12-D12),0)</f>
        <v>0</v>
      </c>
      <c r="F17" s="163">
        <f>IF(D11=C17,+D10-E17,+D17-E17)</f>
        <v>0</v>
      </c>
      <c r="G17" s="159">
        <f>(D17+F17)/2*I$12+E17</f>
        <v>0</v>
      </c>
      <c r="H17" s="147">
        <f>+(D17+F17)/2*I$13+E17</f>
        <v>0</v>
      </c>
      <c r="I17" s="160">
        <f>H17-G17</f>
        <v>0</v>
      </c>
      <c r="J17" s="160"/>
      <c r="K17" s="337"/>
      <c r="L17" s="161">
        <f t="shared" ref="L17:L48" si="0">IF(K17&lt;&gt;0,+G17-K17,0)</f>
        <v>0</v>
      </c>
      <c r="M17" s="337"/>
      <c r="N17" s="161">
        <f t="shared" ref="N17:N48" si="1">IF(M17&lt;&gt;0,+H17-M17,0)</f>
        <v>0</v>
      </c>
      <c r="O17" s="162">
        <f t="shared" ref="O17:O48" si="2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166">
        <f>IF(F17+SUM(E$17:E17)=D$10,F17,D$10-SUM(E$17:E17))</f>
        <v>0</v>
      </c>
      <c r="E18" s="164">
        <f>IF(+I$14&lt;F17,I$14,D18)</f>
        <v>0</v>
      </c>
      <c r="F18" s="163">
        <f>+D18-E18</f>
        <v>0</v>
      </c>
      <c r="G18" s="165">
        <f>(D18+F18)/2*I$12+E18</f>
        <v>0</v>
      </c>
      <c r="H18" s="147">
        <f>+(D18+F18)/2*I$13+E18</f>
        <v>0</v>
      </c>
      <c r="I18" s="160">
        <f>H18-G18</f>
        <v>0</v>
      </c>
      <c r="J18" s="160"/>
      <c r="K18" s="335"/>
      <c r="L18" s="162">
        <f t="shared" si="0"/>
        <v>0</v>
      </c>
      <c r="M18" s="335"/>
      <c r="N18" s="162">
        <f t="shared" si="1"/>
        <v>0</v>
      </c>
      <c r="O18" s="162">
        <f t="shared" si="2"/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166">
        <f>IF(F18+SUM(E$17:E18)=D$10,F18,D$10-SUM(E$17:E18))</f>
        <v>0</v>
      </c>
      <c r="E19" s="164">
        <f t="shared" ref="E19:E71" si="3">IF(+I$14&lt;F18,I$14,D19)</f>
        <v>0</v>
      </c>
      <c r="F19" s="163">
        <f t="shared" ref="F19:F71" si="4">+D19-E19</f>
        <v>0</v>
      </c>
      <c r="G19" s="165">
        <f t="shared" ref="G19:G71" si="5">(D19+F19)/2*I$12+E19</f>
        <v>0</v>
      </c>
      <c r="H19" s="147">
        <f t="shared" ref="H19:H71" si="6">+(D19+F19)/2*I$13+E19</f>
        <v>0</v>
      </c>
      <c r="I19" s="160">
        <f t="shared" ref="I19:I71" si="7">H19-G19</f>
        <v>0</v>
      </c>
      <c r="J19" s="160"/>
      <c r="K19" s="335"/>
      <c r="L19" s="162">
        <f t="shared" si="0"/>
        <v>0</v>
      </c>
      <c r="M19" s="335"/>
      <c r="N19" s="162">
        <f t="shared" si="1"/>
        <v>0</v>
      </c>
      <c r="O19" s="162">
        <f t="shared" si="2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0</v>
      </c>
      <c r="E20" s="164">
        <f t="shared" si="3"/>
        <v>0</v>
      </c>
      <c r="F20" s="163">
        <f t="shared" si="4"/>
        <v>0</v>
      </c>
      <c r="G20" s="165">
        <f t="shared" si="5"/>
        <v>0</v>
      </c>
      <c r="H20" s="147">
        <f t="shared" si="6"/>
        <v>0</v>
      </c>
      <c r="I20" s="160">
        <f t="shared" si="7"/>
        <v>0</v>
      </c>
      <c r="J20" s="160"/>
      <c r="K20" s="335"/>
      <c r="L20" s="162">
        <f t="shared" si="0"/>
        <v>0</v>
      </c>
      <c r="M20" s="335"/>
      <c r="N20" s="162">
        <f t="shared" si="1"/>
        <v>0</v>
      </c>
      <c r="O20" s="162">
        <f t="shared" si="2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0</v>
      </c>
      <c r="E21" s="164">
        <f t="shared" si="3"/>
        <v>0</v>
      </c>
      <c r="F21" s="163">
        <f t="shared" si="4"/>
        <v>0</v>
      </c>
      <c r="G21" s="165">
        <f t="shared" si="5"/>
        <v>0</v>
      </c>
      <c r="H21" s="147">
        <f t="shared" si="6"/>
        <v>0</v>
      </c>
      <c r="I21" s="160">
        <f t="shared" si="7"/>
        <v>0</v>
      </c>
      <c r="J21" s="160"/>
      <c r="K21" s="335"/>
      <c r="L21" s="162">
        <f t="shared" si="0"/>
        <v>0</v>
      </c>
      <c r="M21" s="335"/>
      <c r="N21" s="162">
        <f t="shared" si="1"/>
        <v>0</v>
      </c>
      <c r="O21" s="162">
        <f t="shared" si="2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0</v>
      </c>
      <c r="E22" s="164">
        <f t="shared" si="3"/>
        <v>0</v>
      </c>
      <c r="F22" s="163">
        <f t="shared" si="4"/>
        <v>0</v>
      </c>
      <c r="G22" s="165">
        <f t="shared" si="5"/>
        <v>0</v>
      </c>
      <c r="H22" s="147">
        <f t="shared" si="6"/>
        <v>0</v>
      </c>
      <c r="I22" s="160">
        <f t="shared" si="7"/>
        <v>0</v>
      </c>
      <c r="J22" s="160"/>
      <c r="K22" s="335"/>
      <c r="L22" s="162">
        <f t="shared" si="0"/>
        <v>0</v>
      </c>
      <c r="M22" s="335"/>
      <c r="N22" s="162">
        <f t="shared" si="1"/>
        <v>0</v>
      </c>
      <c r="O22" s="162">
        <f t="shared" si="2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0</v>
      </c>
      <c r="E23" s="164">
        <f t="shared" si="3"/>
        <v>0</v>
      </c>
      <c r="F23" s="163">
        <f t="shared" si="4"/>
        <v>0</v>
      </c>
      <c r="G23" s="165">
        <f t="shared" si="5"/>
        <v>0</v>
      </c>
      <c r="H23" s="147">
        <f t="shared" si="6"/>
        <v>0</v>
      </c>
      <c r="I23" s="160">
        <f t="shared" si="7"/>
        <v>0</v>
      </c>
      <c r="J23" s="160"/>
      <c r="K23" s="335"/>
      <c r="L23" s="162">
        <f t="shared" si="0"/>
        <v>0</v>
      </c>
      <c r="M23" s="335"/>
      <c r="N23" s="162">
        <f t="shared" si="1"/>
        <v>0</v>
      </c>
      <c r="O23" s="162">
        <f t="shared" si="2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0</v>
      </c>
      <c r="E24" s="164">
        <f t="shared" si="3"/>
        <v>0</v>
      </c>
      <c r="F24" s="163">
        <f t="shared" si="4"/>
        <v>0</v>
      </c>
      <c r="G24" s="165">
        <f t="shared" si="5"/>
        <v>0</v>
      </c>
      <c r="H24" s="147">
        <f t="shared" si="6"/>
        <v>0</v>
      </c>
      <c r="I24" s="160">
        <f t="shared" si="7"/>
        <v>0</v>
      </c>
      <c r="J24" s="160"/>
      <c r="K24" s="335"/>
      <c r="L24" s="162">
        <f t="shared" si="0"/>
        <v>0</v>
      </c>
      <c r="M24" s="335"/>
      <c r="N24" s="162">
        <f t="shared" si="1"/>
        <v>0</v>
      </c>
      <c r="O24" s="162">
        <f t="shared" si="2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0</v>
      </c>
      <c r="E25" s="164">
        <f t="shared" si="3"/>
        <v>0</v>
      </c>
      <c r="F25" s="163">
        <f t="shared" si="4"/>
        <v>0</v>
      </c>
      <c r="G25" s="165">
        <f t="shared" si="5"/>
        <v>0</v>
      </c>
      <c r="H25" s="147">
        <f t="shared" si="6"/>
        <v>0</v>
      </c>
      <c r="I25" s="160">
        <f t="shared" si="7"/>
        <v>0</v>
      </c>
      <c r="J25" s="160"/>
      <c r="K25" s="335"/>
      <c r="L25" s="162">
        <f t="shared" si="0"/>
        <v>0</v>
      </c>
      <c r="M25" s="335"/>
      <c r="N25" s="162">
        <f t="shared" si="1"/>
        <v>0</v>
      </c>
      <c r="O25" s="162">
        <f t="shared" si="2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0</v>
      </c>
      <c r="E26" s="164">
        <f t="shared" si="3"/>
        <v>0</v>
      </c>
      <c r="F26" s="163">
        <f t="shared" si="4"/>
        <v>0</v>
      </c>
      <c r="G26" s="165">
        <f t="shared" si="5"/>
        <v>0</v>
      </c>
      <c r="H26" s="147">
        <f t="shared" si="6"/>
        <v>0</v>
      </c>
      <c r="I26" s="160">
        <f t="shared" si="7"/>
        <v>0</v>
      </c>
      <c r="J26" s="160"/>
      <c r="K26" s="335"/>
      <c r="L26" s="162">
        <f t="shared" si="0"/>
        <v>0</v>
      </c>
      <c r="M26" s="335"/>
      <c r="N26" s="162">
        <f t="shared" si="1"/>
        <v>0</v>
      </c>
      <c r="O26" s="162">
        <f t="shared" si="2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0</v>
      </c>
      <c r="E27" s="164">
        <f t="shared" si="3"/>
        <v>0</v>
      </c>
      <c r="F27" s="163">
        <f t="shared" si="4"/>
        <v>0</v>
      </c>
      <c r="G27" s="165">
        <f t="shared" si="5"/>
        <v>0</v>
      </c>
      <c r="H27" s="147">
        <f t="shared" si="6"/>
        <v>0</v>
      </c>
      <c r="I27" s="160">
        <f t="shared" si="7"/>
        <v>0</v>
      </c>
      <c r="J27" s="160"/>
      <c r="K27" s="335"/>
      <c r="L27" s="162">
        <f t="shared" si="0"/>
        <v>0</v>
      </c>
      <c r="M27" s="335"/>
      <c r="N27" s="162">
        <f t="shared" si="1"/>
        <v>0</v>
      </c>
      <c r="O27" s="162">
        <f t="shared" si="2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0</v>
      </c>
      <c r="E28" s="164">
        <f t="shared" si="3"/>
        <v>0</v>
      </c>
      <c r="F28" s="163">
        <f t="shared" si="4"/>
        <v>0</v>
      </c>
      <c r="G28" s="165">
        <f t="shared" si="5"/>
        <v>0</v>
      </c>
      <c r="H28" s="147">
        <f t="shared" si="6"/>
        <v>0</v>
      </c>
      <c r="I28" s="160">
        <f t="shared" si="7"/>
        <v>0</v>
      </c>
      <c r="J28" s="160"/>
      <c r="K28" s="335"/>
      <c r="L28" s="162">
        <f t="shared" si="0"/>
        <v>0</v>
      </c>
      <c r="M28" s="335"/>
      <c r="N28" s="162">
        <f t="shared" si="1"/>
        <v>0</v>
      </c>
      <c r="O28" s="162">
        <f t="shared" si="2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0</v>
      </c>
      <c r="E29" s="164">
        <f t="shared" si="3"/>
        <v>0</v>
      </c>
      <c r="F29" s="163">
        <f t="shared" si="4"/>
        <v>0</v>
      </c>
      <c r="G29" s="165">
        <f t="shared" si="5"/>
        <v>0</v>
      </c>
      <c r="H29" s="147">
        <f t="shared" si="6"/>
        <v>0</v>
      </c>
      <c r="I29" s="160">
        <f t="shared" si="7"/>
        <v>0</v>
      </c>
      <c r="J29" s="160"/>
      <c r="K29" s="335"/>
      <c r="L29" s="162">
        <f t="shared" si="0"/>
        <v>0</v>
      </c>
      <c r="M29" s="335"/>
      <c r="N29" s="162">
        <f t="shared" si="1"/>
        <v>0</v>
      </c>
      <c r="O29" s="162">
        <f t="shared" si="2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0</v>
      </c>
      <c r="E30" s="164">
        <f t="shared" si="3"/>
        <v>0</v>
      </c>
      <c r="F30" s="163">
        <f t="shared" si="4"/>
        <v>0</v>
      </c>
      <c r="G30" s="165">
        <f t="shared" si="5"/>
        <v>0</v>
      </c>
      <c r="H30" s="147">
        <f t="shared" si="6"/>
        <v>0</v>
      </c>
      <c r="I30" s="160">
        <f t="shared" si="7"/>
        <v>0</v>
      </c>
      <c r="J30" s="160"/>
      <c r="K30" s="335"/>
      <c r="L30" s="162">
        <f t="shared" si="0"/>
        <v>0</v>
      </c>
      <c r="M30" s="335"/>
      <c r="N30" s="162">
        <f t="shared" si="1"/>
        <v>0</v>
      </c>
      <c r="O30" s="162">
        <f t="shared" si="2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0</v>
      </c>
      <c r="E31" s="164">
        <f t="shared" si="3"/>
        <v>0</v>
      </c>
      <c r="F31" s="163">
        <f t="shared" si="4"/>
        <v>0</v>
      </c>
      <c r="G31" s="165">
        <f t="shared" si="5"/>
        <v>0</v>
      </c>
      <c r="H31" s="147">
        <f t="shared" si="6"/>
        <v>0</v>
      </c>
      <c r="I31" s="160">
        <f t="shared" si="7"/>
        <v>0</v>
      </c>
      <c r="J31" s="160"/>
      <c r="K31" s="335"/>
      <c r="L31" s="162">
        <f t="shared" si="0"/>
        <v>0</v>
      </c>
      <c r="M31" s="335"/>
      <c r="N31" s="162">
        <f t="shared" si="1"/>
        <v>0</v>
      </c>
      <c r="O31" s="162">
        <f t="shared" si="2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0</v>
      </c>
      <c r="E32" s="164">
        <f t="shared" si="3"/>
        <v>0</v>
      </c>
      <c r="F32" s="163">
        <f t="shared" si="4"/>
        <v>0</v>
      </c>
      <c r="G32" s="165">
        <f t="shared" si="5"/>
        <v>0</v>
      </c>
      <c r="H32" s="147">
        <f t="shared" si="6"/>
        <v>0</v>
      </c>
      <c r="I32" s="160">
        <f t="shared" si="7"/>
        <v>0</v>
      </c>
      <c r="J32" s="160"/>
      <c r="K32" s="335"/>
      <c r="L32" s="162">
        <f t="shared" si="0"/>
        <v>0</v>
      </c>
      <c r="M32" s="335"/>
      <c r="N32" s="162">
        <f t="shared" si="1"/>
        <v>0</v>
      </c>
      <c r="O32" s="162">
        <f t="shared" si="2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0</v>
      </c>
      <c r="E33" s="164">
        <f t="shared" si="3"/>
        <v>0</v>
      </c>
      <c r="F33" s="163">
        <f t="shared" si="4"/>
        <v>0</v>
      </c>
      <c r="G33" s="165">
        <f t="shared" si="5"/>
        <v>0</v>
      </c>
      <c r="H33" s="147">
        <f t="shared" si="6"/>
        <v>0</v>
      </c>
      <c r="I33" s="160">
        <f t="shared" si="7"/>
        <v>0</v>
      </c>
      <c r="J33" s="160"/>
      <c r="K33" s="335"/>
      <c r="L33" s="162">
        <f t="shared" si="0"/>
        <v>0</v>
      </c>
      <c r="M33" s="335"/>
      <c r="N33" s="162">
        <f t="shared" si="1"/>
        <v>0</v>
      </c>
      <c r="O33" s="162">
        <f t="shared" si="2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0</v>
      </c>
      <c r="E34" s="164">
        <f t="shared" si="3"/>
        <v>0</v>
      </c>
      <c r="F34" s="163">
        <f t="shared" si="4"/>
        <v>0</v>
      </c>
      <c r="G34" s="165">
        <f t="shared" si="5"/>
        <v>0</v>
      </c>
      <c r="H34" s="147">
        <f t="shared" si="6"/>
        <v>0</v>
      </c>
      <c r="I34" s="160">
        <f t="shared" si="7"/>
        <v>0</v>
      </c>
      <c r="J34" s="160"/>
      <c r="K34" s="335"/>
      <c r="L34" s="162">
        <f t="shared" si="0"/>
        <v>0</v>
      </c>
      <c r="M34" s="335"/>
      <c r="N34" s="162">
        <f t="shared" si="1"/>
        <v>0</v>
      </c>
      <c r="O34" s="162">
        <f t="shared" si="2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0</v>
      </c>
      <c r="E35" s="164">
        <f t="shared" si="3"/>
        <v>0</v>
      </c>
      <c r="F35" s="163">
        <f t="shared" si="4"/>
        <v>0</v>
      </c>
      <c r="G35" s="165">
        <f t="shared" si="5"/>
        <v>0</v>
      </c>
      <c r="H35" s="147">
        <f t="shared" si="6"/>
        <v>0</v>
      </c>
      <c r="I35" s="160">
        <f t="shared" si="7"/>
        <v>0</v>
      </c>
      <c r="J35" s="160"/>
      <c r="K35" s="335"/>
      <c r="L35" s="162">
        <f t="shared" si="0"/>
        <v>0</v>
      </c>
      <c r="M35" s="335"/>
      <c r="N35" s="162">
        <f t="shared" si="1"/>
        <v>0</v>
      </c>
      <c r="O35" s="162">
        <f t="shared" si="2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0</v>
      </c>
      <c r="E36" s="164">
        <f t="shared" si="3"/>
        <v>0</v>
      </c>
      <c r="F36" s="163">
        <f t="shared" si="4"/>
        <v>0</v>
      </c>
      <c r="G36" s="165">
        <f t="shared" si="5"/>
        <v>0</v>
      </c>
      <c r="H36" s="147">
        <f t="shared" si="6"/>
        <v>0</v>
      </c>
      <c r="I36" s="160">
        <f t="shared" si="7"/>
        <v>0</v>
      </c>
      <c r="J36" s="160"/>
      <c r="K36" s="335"/>
      <c r="L36" s="162">
        <f t="shared" si="0"/>
        <v>0</v>
      </c>
      <c r="M36" s="335"/>
      <c r="N36" s="162">
        <f t="shared" si="1"/>
        <v>0</v>
      </c>
      <c r="O36" s="162">
        <f t="shared" si="2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0</v>
      </c>
      <c r="E37" s="164">
        <f t="shared" si="3"/>
        <v>0</v>
      </c>
      <c r="F37" s="163">
        <f t="shared" si="4"/>
        <v>0</v>
      </c>
      <c r="G37" s="165">
        <f t="shared" si="5"/>
        <v>0</v>
      </c>
      <c r="H37" s="147">
        <f t="shared" si="6"/>
        <v>0</v>
      </c>
      <c r="I37" s="160">
        <f t="shared" si="7"/>
        <v>0</v>
      </c>
      <c r="J37" s="160"/>
      <c r="K37" s="335"/>
      <c r="L37" s="162">
        <f t="shared" si="0"/>
        <v>0</v>
      </c>
      <c r="M37" s="335"/>
      <c r="N37" s="162">
        <f t="shared" si="1"/>
        <v>0</v>
      </c>
      <c r="O37" s="162">
        <f t="shared" si="2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0</v>
      </c>
      <c r="E38" s="164">
        <f t="shared" si="3"/>
        <v>0</v>
      </c>
      <c r="F38" s="163">
        <f t="shared" si="4"/>
        <v>0</v>
      </c>
      <c r="G38" s="165">
        <f t="shared" si="5"/>
        <v>0</v>
      </c>
      <c r="H38" s="147">
        <f t="shared" si="6"/>
        <v>0</v>
      </c>
      <c r="I38" s="160">
        <f t="shared" si="7"/>
        <v>0</v>
      </c>
      <c r="J38" s="160"/>
      <c r="K38" s="335"/>
      <c r="L38" s="162">
        <f t="shared" si="0"/>
        <v>0</v>
      </c>
      <c r="M38" s="335"/>
      <c r="N38" s="162">
        <f t="shared" si="1"/>
        <v>0</v>
      </c>
      <c r="O38" s="162">
        <f t="shared" si="2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0</v>
      </c>
      <c r="E39" s="164">
        <f t="shared" si="3"/>
        <v>0</v>
      </c>
      <c r="F39" s="163">
        <f t="shared" si="4"/>
        <v>0</v>
      </c>
      <c r="G39" s="165">
        <f t="shared" si="5"/>
        <v>0</v>
      </c>
      <c r="H39" s="147">
        <f t="shared" si="6"/>
        <v>0</v>
      </c>
      <c r="I39" s="160">
        <f t="shared" si="7"/>
        <v>0</v>
      </c>
      <c r="J39" s="160"/>
      <c r="K39" s="335"/>
      <c r="L39" s="162">
        <f t="shared" si="0"/>
        <v>0</v>
      </c>
      <c r="M39" s="335"/>
      <c r="N39" s="162">
        <f t="shared" si="1"/>
        <v>0</v>
      </c>
      <c r="O39" s="162">
        <f t="shared" si="2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0</v>
      </c>
      <c r="E40" s="164">
        <f t="shared" si="3"/>
        <v>0</v>
      </c>
      <c r="F40" s="163">
        <f t="shared" si="4"/>
        <v>0</v>
      </c>
      <c r="G40" s="165">
        <f t="shared" si="5"/>
        <v>0</v>
      </c>
      <c r="H40" s="147">
        <f t="shared" si="6"/>
        <v>0</v>
      </c>
      <c r="I40" s="160">
        <f t="shared" si="7"/>
        <v>0</v>
      </c>
      <c r="J40" s="160"/>
      <c r="K40" s="335"/>
      <c r="L40" s="162">
        <f t="shared" si="0"/>
        <v>0</v>
      </c>
      <c r="M40" s="335"/>
      <c r="N40" s="162">
        <f t="shared" si="1"/>
        <v>0</v>
      </c>
      <c r="O40" s="162">
        <f t="shared" si="2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0</v>
      </c>
      <c r="E41" s="164">
        <f t="shared" si="3"/>
        <v>0</v>
      </c>
      <c r="F41" s="163">
        <f t="shared" si="4"/>
        <v>0</v>
      </c>
      <c r="G41" s="165">
        <f t="shared" si="5"/>
        <v>0</v>
      </c>
      <c r="H41" s="147">
        <f t="shared" si="6"/>
        <v>0</v>
      </c>
      <c r="I41" s="160">
        <f t="shared" si="7"/>
        <v>0</v>
      </c>
      <c r="J41" s="160"/>
      <c r="K41" s="335"/>
      <c r="L41" s="162">
        <f t="shared" si="0"/>
        <v>0</v>
      </c>
      <c r="M41" s="335"/>
      <c r="N41" s="162">
        <f t="shared" si="1"/>
        <v>0</v>
      </c>
      <c r="O41" s="162">
        <f t="shared" si="2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0</v>
      </c>
      <c r="E42" s="164">
        <f t="shared" si="3"/>
        <v>0</v>
      </c>
      <c r="F42" s="163">
        <f t="shared" si="4"/>
        <v>0</v>
      </c>
      <c r="G42" s="165">
        <f t="shared" si="5"/>
        <v>0</v>
      </c>
      <c r="H42" s="147">
        <f t="shared" si="6"/>
        <v>0</v>
      </c>
      <c r="I42" s="160">
        <f t="shared" si="7"/>
        <v>0</v>
      </c>
      <c r="J42" s="160"/>
      <c r="K42" s="335"/>
      <c r="L42" s="162">
        <f t="shared" si="0"/>
        <v>0</v>
      </c>
      <c r="M42" s="335"/>
      <c r="N42" s="162">
        <f t="shared" si="1"/>
        <v>0</v>
      </c>
      <c r="O42" s="162">
        <f t="shared" si="2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0</v>
      </c>
      <c r="E43" s="164">
        <f t="shared" si="3"/>
        <v>0</v>
      </c>
      <c r="F43" s="163">
        <f t="shared" si="4"/>
        <v>0</v>
      </c>
      <c r="G43" s="165">
        <f t="shared" si="5"/>
        <v>0</v>
      </c>
      <c r="H43" s="147">
        <f t="shared" si="6"/>
        <v>0</v>
      </c>
      <c r="I43" s="160">
        <f t="shared" si="7"/>
        <v>0</v>
      </c>
      <c r="J43" s="160"/>
      <c r="K43" s="335"/>
      <c r="L43" s="162">
        <f t="shared" si="0"/>
        <v>0</v>
      </c>
      <c r="M43" s="335"/>
      <c r="N43" s="162">
        <f t="shared" si="1"/>
        <v>0</v>
      </c>
      <c r="O43" s="162">
        <f t="shared" si="2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0</v>
      </c>
      <c r="E44" s="164">
        <f t="shared" si="3"/>
        <v>0</v>
      </c>
      <c r="F44" s="163">
        <f t="shared" si="4"/>
        <v>0</v>
      </c>
      <c r="G44" s="165">
        <f t="shared" si="5"/>
        <v>0</v>
      </c>
      <c r="H44" s="147">
        <f t="shared" si="6"/>
        <v>0</v>
      </c>
      <c r="I44" s="160">
        <f t="shared" si="7"/>
        <v>0</v>
      </c>
      <c r="J44" s="160"/>
      <c r="K44" s="335"/>
      <c r="L44" s="162">
        <f t="shared" si="0"/>
        <v>0</v>
      </c>
      <c r="M44" s="335"/>
      <c r="N44" s="162">
        <f t="shared" si="1"/>
        <v>0</v>
      </c>
      <c r="O44" s="162">
        <f t="shared" si="2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0</v>
      </c>
      <c r="E45" s="164">
        <f t="shared" si="3"/>
        <v>0</v>
      </c>
      <c r="F45" s="163">
        <f t="shared" si="4"/>
        <v>0</v>
      </c>
      <c r="G45" s="165">
        <f t="shared" si="5"/>
        <v>0</v>
      </c>
      <c r="H45" s="147">
        <f t="shared" si="6"/>
        <v>0</v>
      </c>
      <c r="I45" s="160">
        <f t="shared" si="7"/>
        <v>0</v>
      </c>
      <c r="J45" s="160"/>
      <c r="K45" s="335"/>
      <c r="L45" s="162">
        <f t="shared" si="0"/>
        <v>0</v>
      </c>
      <c r="M45" s="335"/>
      <c r="N45" s="162">
        <f t="shared" si="1"/>
        <v>0</v>
      </c>
      <c r="O45" s="162">
        <f t="shared" si="2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0</v>
      </c>
      <c r="E46" s="164">
        <f t="shared" si="3"/>
        <v>0</v>
      </c>
      <c r="F46" s="163">
        <f t="shared" si="4"/>
        <v>0</v>
      </c>
      <c r="G46" s="165">
        <f t="shared" si="5"/>
        <v>0</v>
      </c>
      <c r="H46" s="147">
        <f t="shared" si="6"/>
        <v>0</v>
      </c>
      <c r="I46" s="160">
        <f t="shared" si="7"/>
        <v>0</v>
      </c>
      <c r="J46" s="160"/>
      <c r="K46" s="335"/>
      <c r="L46" s="162">
        <f t="shared" si="0"/>
        <v>0</v>
      </c>
      <c r="M46" s="335"/>
      <c r="N46" s="162">
        <f t="shared" si="1"/>
        <v>0</v>
      </c>
      <c r="O46" s="162">
        <f t="shared" si="2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0</v>
      </c>
      <c r="E47" s="164">
        <f t="shared" si="3"/>
        <v>0</v>
      </c>
      <c r="F47" s="163">
        <f t="shared" si="4"/>
        <v>0</v>
      </c>
      <c r="G47" s="165">
        <f t="shared" si="5"/>
        <v>0</v>
      </c>
      <c r="H47" s="147">
        <f t="shared" si="6"/>
        <v>0</v>
      </c>
      <c r="I47" s="160">
        <f t="shared" si="7"/>
        <v>0</v>
      </c>
      <c r="J47" s="160"/>
      <c r="K47" s="335"/>
      <c r="L47" s="162">
        <f t="shared" si="0"/>
        <v>0</v>
      </c>
      <c r="M47" s="335"/>
      <c r="N47" s="162">
        <f t="shared" si="1"/>
        <v>0</v>
      </c>
      <c r="O47" s="162">
        <f t="shared" si="2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0</v>
      </c>
      <c r="E48" s="164">
        <f t="shared" si="3"/>
        <v>0</v>
      </c>
      <c r="F48" s="163">
        <f t="shared" si="4"/>
        <v>0</v>
      </c>
      <c r="G48" s="165">
        <f t="shared" si="5"/>
        <v>0</v>
      </c>
      <c r="H48" s="147">
        <f t="shared" si="6"/>
        <v>0</v>
      </c>
      <c r="I48" s="160">
        <f t="shared" si="7"/>
        <v>0</v>
      </c>
      <c r="J48" s="160"/>
      <c r="K48" s="335"/>
      <c r="L48" s="162">
        <f t="shared" si="0"/>
        <v>0</v>
      </c>
      <c r="M48" s="335"/>
      <c r="N48" s="162">
        <f t="shared" si="1"/>
        <v>0</v>
      </c>
      <c r="O48" s="162">
        <f t="shared" si="2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0</v>
      </c>
      <c r="E49" s="164">
        <f t="shared" si="3"/>
        <v>0</v>
      </c>
      <c r="F49" s="163">
        <f t="shared" si="4"/>
        <v>0</v>
      </c>
      <c r="G49" s="165">
        <f t="shared" si="5"/>
        <v>0</v>
      </c>
      <c r="H49" s="147">
        <f t="shared" si="6"/>
        <v>0</v>
      </c>
      <c r="I49" s="160">
        <f t="shared" si="7"/>
        <v>0</v>
      </c>
      <c r="J49" s="160"/>
      <c r="K49" s="335"/>
      <c r="L49" s="162">
        <f t="shared" ref="L49:L72" si="9">IF(K49&lt;&gt;0,+G49-K49,0)</f>
        <v>0</v>
      </c>
      <c r="M49" s="335"/>
      <c r="N49" s="162">
        <f t="shared" ref="N49:N72" si="10">IF(M49&lt;&gt;0,+H49-M49,0)</f>
        <v>0</v>
      </c>
      <c r="O49" s="162">
        <f t="shared" ref="O49:O72" si="11">+N49-L49</f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0</v>
      </c>
      <c r="E50" s="164">
        <f t="shared" si="3"/>
        <v>0</v>
      </c>
      <c r="F50" s="163">
        <f t="shared" si="4"/>
        <v>0</v>
      </c>
      <c r="G50" s="165">
        <f t="shared" si="5"/>
        <v>0</v>
      </c>
      <c r="H50" s="147">
        <f t="shared" si="6"/>
        <v>0</v>
      </c>
      <c r="I50" s="160">
        <f t="shared" si="7"/>
        <v>0</v>
      </c>
      <c r="J50" s="160"/>
      <c r="K50" s="335"/>
      <c r="L50" s="162">
        <f t="shared" si="9"/>
        <v>0</v>
      </c>
      <c r="M50" s="335"/>
      <c r="N50" s="162">
        <f t="shared" si="10"/>
        <v>0</v>
      </c>
      <c r="O50" s="162">
        <f t="shared" si="11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0</v>
      </c>
      <c r="E51" s="164">
        <f t="shared" si="3"/>
        <v>0</v>
      </c>
      <c r="F51" s="163">
        <f t="shared" si="4"/>
        <v>0</v>
      </c>
      <c r="G51" s="165">
        <f t="shared" si="5"/>
        <v>0</v>
      </c>
      <c r="H51" s="147">
        <f t="shared" si="6"/>
        <v>0</v>
      </c>
      <c r="I51" s="160">
        <f t="shared" si="7"/>
        <v>0</v>
      </c>
      <c r="J51" s="160"/>
      <c r="K51" s="335"/>
      <c r="L51" s="162">
        <f t="shared" si="9"/>
        <v>0</v>
      </c>
      <c r="M51" s="335"/>
      <c r="N51" s="162">
        <f t="shared" si="10"/>
        <v>0</v>
      </c>
      <c r="O51" s="162">
        <f t="shared" si="11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0</v>
      </c>
      <c r="E52" s="164">
        <f t="shared" si="3"/>
        <v>0</v>
      </c>
      <c r="F52" s="163">
        <f t="shared" si="4"/>
        <v>0</v>
      </c>
      <c r="G52" s="165">
        <f t="shared" si="5"/>
        <v>0</v>
      </c>
      <c r="H52" s="147">
        <f t="shared" si="6"/>
        <v>0</v>
      </c>
      <c r="I52" s="160">
        <f t="shared" si="7"/>
        <v>0</v>
      </c>
      <c r="J52" s="160"/>
      <c r="K52" s="335"/>
      <c r="L52" s="162">
        <f t="shared" si="9"/>
        <v>0</v>
      </c>
      <c r="M52" s="335"/>
      <c r="N52" s="162">
        <f t="shared" si="10"/>
        <v>0</v>
      </c>
      <c r="O52" s="162">
        <f t="shared" si="11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0</v>
      </c>
      <c r="E53" s="164">
        <f t="shared" si="3"/>
        <v>0</v>
      </c>
      <c r="F53" s="163">
        <f t="shared" si="4"/>
        <v>0</v>
      </c>
      <c r="G53" s="165">
        <f t="shared" si="5"/>
        <v>0</v>
      </c>
      <c r="H53" s="147">
        <f t="shared" si="6"/>
        <v>0</v>
      </c>
      <c r="I53" s="160">
        <f t="shared" si="7"/>
        <v>0</v>
      </c>
      <c r="J53" s="160"/>
      <c r="K53" s="335"/>
      <c r="L53" s="162">
        <f t="shared" si="9"/>
        <v>0</v>
      </c>
      <c r="M53" s="335"/>
      <c r="N53" s="162">
        <f t="shared" si="10"/>
        <v>0</v>
      </c>
      <c r="O53" s="162">
        <f t="shared" si="11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0</v>
      </c>
      <c r="E54" s="164">
        <f t="shared" si="3"/>
        <v>0</v>
      </c>
      <c r="F54" s="163">
        <f t="shared" si="4"/>
        <v>0</v>
      </c>
      <c r="G54" s="165">
        <f t="shared" si="5"/>
        <v>0</v>
      </c>
      <c r="H54" s="147">
        <f t="shared" si="6"/>
        <v>0</v>
      </c>
      <c r="I54" s="160">
        <f t="shared" si="7"/>
        <v>0</v>
      </c>
      <c r="J54" s="160"/>
      <c r="K54" s="335"/>
      <c r="L54" s="162">
        <f t="shared" si="9"/>
        <v>0</v>
      </c>
      <c r="M54" s="335"/>
      <c r="N54" s="162">
        <f t="shared" si="10"/>
        <v>0</v>
      </c>
      <c r="O54" s="162">
        <f t="shared" si="11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0</v>
      </c>
      <c r="E55" s="164">
        <f t="shared" si="3"/>
        <v>0</v>
      </c>
      <c r="F55" s="163">
        <f t="shared" si="4"/>
        <v>0</v>
      </c>
      <c r="G55" s="165">
        <f t="shared" si="5"/>
        <v>0</v>
      </c>
      <c r="H55" s="147">
        <f t="shared" si="6"/>
        <v>0</v>
      </c>
      <c r="I55" s="160">
        <f t="shared" si="7"/>
        <v>0</v>
      </c>
      <c r="J55" s="160"/>
      <c r="K55" s="335"/>
      <c r="L55" s="162">
        <f t="shared" si="9"/>
        <v>0</v>
      </c>
      <c r="M55" s="335"/>
      <c r="N55" s="162">
        <f t="shared" si="10"/>
        <v>0</v>
      </c>
      <c r="O55" s="162">
        <f t="shared" si="11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0</v>
      </c>
      <c r="E56" s="164">
        <f t="shared" si="3"/>
        <v>0</v>
      </c>
      <c r="F56" s="163">
        <f t="shared" si="4"/>
        <v>0</v>
      </c>
      <c r="G56" s="165">
        <f t="shared" si="5"/>
        <v>0</v>
      </c>
      <c r="H56" s="147">
        <f t="shared" si="6"/>
        <v>0</v>
      </c>
      <c r="I56" s="160">
        <f t="shared" si="7"/>
        <v>0</v>
      </c>
      <c r="J56" s="160"/>
      <c r="K56" s="335"/>
      <c r="L56" s="162">
        <f t="shared" si="9"/>
        <v>0</v>
      </c>
      <c r="M56" s="335"/>
      <c r="N56" s="162">
        <f t="shared" si="10"/>
        <v>0</v>
      </c>
      <c r="O56" s="162">
        <f t="shared" si="11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0</v>
      </c>
      <c r="E57" s="164">
        <f t="shared" si="3"/>
        <v>0</v>
      </c>
      <c r="F57" s="163">
        <f t="shared" si="4"/>
        <v>0</v>
      </c>
      <c r="G57" s="165">
        <f t="shared" si="5"/>
        <v>0</v>
      </c>
      <c r="H57" s="147">
        <f t="shared" si="6"/>
        <v>0</v>
      </c>
      <c r="I57" s="160">
        <f t="shared" si="7"/>
        <v>0</v>
      </c>
      <c r="J57" s="160"/>
      <c r="K57" s="335"/>
      <c r="L57" s="162">
        <f t="shared" si="9"/>
        <v>0</v>
      </c>
      <c r="M57" s="335"/>
      <c r="N57" s="162">
        <f t="shared" si="10"/>
        <v>0</v>
      </c>
      <c r="O57" s="162">
        <f t="shared" si="11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0</v>
      </c>
      <c r="E58" s="164">
        <f t="shared" si="3"/>
        <v>0</v>
      </c>
      <c r="F58" s="163">
        <f t="shared" si="4"/>
        <v>0</v>
      </c>
      <c r="G58" s="165">
        <f t="shared" si="5"/>
        <v>0</v>
      </c>
      <c r="H58" s="147">
        <f t="shared" si="6"/>
        <v>0</v>
      </c>
      <c r="I58" s="160">
        <f t="shared" si="7"/>
        <v>0</v>
      </c>
      <c r="J58" s="160"/>
      <c r="K58" s="335"/>
      <c r="L58" s="162">
        <f t="shared" si="9"/>
        <v>0</v>
      </c>
      <c r="M58" s="335"/>
      <c r="N58" s="162">
        <f t="shared" si="10"/>
        <v>0</v>
      </c>
      <c r="O58" s="162">
        <f t="shared" si="11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0</v>
      </c>
      <c r="E59" s="164">
        <f t="shared" si="3"/>
        <v>0</v>
      </c>
      <c r="F59" s="163">
        <f t="shared" si="4"/>
        <v>0</v>
      </c>
      <c r="G59" s="165">
        <f t="shared" si="5"/>
        <v>0</v>
      </c>
      <c r="H59" s="147">
        <f t="shared" si="6"/>
        <v>0</v>
      </c>
      <c r="I59" s="160">
        <f t="shared" si="7"/>
        <v>0</v>
      </c>
      <c r="J59" s="160"/>
      <c r="K59" s="335"/>
      <c r="L59" s="162">
        <f t="shared" si="9"/>
        <v>0</v>
      </c>
      <c r="M59" s="335"/>
      <c r="N59" s="162">
        <f t="shared" si="10"/>
        <v>0</v>
      </c>
      <c r="O59" s="162">
        <f t="shared" si="11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3"/>
        <v>0</v>
      </c>
      <c r="F60" s="163">
        <f t="shared" si="4"/>
        <v>0</v>
      </c>
      <c r="G60" s="165">
        <f t="shared" si="5"/>
        <v>0</v>
      </c>
      <c r="H60" s="147">
        <f t="shared" si="6"/>
        <v>0</v>
      </c>
      <c r="I60" s="160">
        <f t="shared" si="7"/>
        <v>0</v>
      </c>
      <c r="J60" s="160"/>
      <c r="K60" s="335"/>
      <c r="L60" s="162">
        <f t="shared" si="9"/>
        <v>0</v>
      </c>
      <c r="M60" s="335"/>
      <c r="N60" s="162">
        <f t="shared" si="10"/>
        <v>0</v>
      </c>
      <c r="O60" s="162">
        <f t="shared" si="11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3"/>
        <v>0</v>
      </c>
      <c r="F61" s="163">
        <f t="shared" si="4"/>
        <v>0</v>
      </c>
      <c r="G61" s="165">
        <f t="shared" si="5"/>
        <v>0</v>
      </c>
      <c r="H61" s="147">
        <f t="shared" si="6"/>
        <v>0</v>
      </c>
      <c r="I61" s="160">
        <f t="shared" si="7"/>
        <v>0</v>
      </c>
      <c r="J61" s="160"/>
      <c r="K61" s="335"/>
      <c r="L61" s="162">
        <f t="shared" si="9"/>
        <v>0</v>
      </c>
      <c r="M61" s="335"/>
      <c r="N61" s="162">
        <f t="shared" si="10"/>
        <v>0</v>
      </c>
      <c r="O61" s="162">
        <f t="shared" si="11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3"/>
        <v>0</v>
      </c>
      <c r="F62" s="163">
        <f t="shared" si="4"/>
        <v>0</v>
      </c>
      <c r="G62" s="165">
        <f t="shared" si="5"/>
        <v>0</v>
      </c>
      <c r="H62" s="147">
        <f t="shared" si="6"/>
        <v>0</v>
      </c>
      <c r="I62" s="160">
        <f t="shared" si="7"/>
        <v>0</v>
      </c>
      <c r="J62" s="160"/>
      <c r="K62" s="335"/>
      <c r="L62" s="162">
        <f t="shared" si="9"/>
        <v>0</v>
      </c>
      <c r="M62" s="335"/>
      <c r="N62" s="162">
        <f t="shared" si="10"/>
        <v>0</v>
      </c>
      <c r="O62" s="162">
        <f t="shared" si="11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3"/>
        <v>0</v>
      </c>
      <c r="F63" s="163">
        <f t="shared" si="4"/>
        <v>0</v>
      </c>
      <c r="G63" s="165">
        <f t="shared" si="5"/>
        <v>0</v>
      </c>
      <c r="H63" s="147">
        <f t="shared" si="6"/>
        <v>0</v>
      </c>
      <c r="I63" s="160">
        <f t="shared" si="7"/>
        <v>0</v>
      </c>
      <c r="J63" s="160"/>
      <c r="K63" s="335"/>
      <c r="L63" s="162">
        <f t="shared" si="9"/>
        <v>0</v>
      </c>
      <c r="M63" s="335"/>
      <c r="N63" s="162">
        <f t="shared" si="10"/>
        <v>0</v>
      </c>
      <c r="O63" s="162">
        <f t="shared" si="11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3"/>
        <v>0</v>
      </c>
      <c r="F64" s="163">
        <f t="shared" si="4"/>
        <v>0</v>
      </c>
      <c r="G64" s="165">
        <f t="shared" si="5"/>
        <v>0</v>
      </c>
      <c r="H64" s="147">
        <f t="shared" si="6"/>
        <v>0</v>
      </c>
      <c r="I64" s="160">
        <f t="shared" si="7"/>
        <v>0</v>
      </c>
      <c r="J64" s="160"/>
      <c r="K64" s="335"/>
      <c r="L64" s="162">
        <f t="shared" si="9"/>
        <v>0</v>
      </c>
      <c r="M64" s="335"/>
      <c r="N64" s="162">
        <f t="shared" si="10"/>
        <v>0</v>
      </c>
      <c r="O64" s="162">
        <f t="shared" si="11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3"/>
        <v>0</v>
      </c>
      <c r="F65" s="163">
        <f t="shared" si="4"/>
        <v>0</v>
      </c>
      <c r="G65" s="165">
        <f t="shared" si="5"/>
        <v>0</v>
      </c>
      <c r="H65" s="147">
        <f t="shared" si="6"/>
        <v>0</v>
      </c>
      <c r="I65" s="160">
        <f t="shared" si="7"/>
        <v>0</v>
      </c>
      <c r="J65" s="160"/>
      <c r="K65" s="335"/>
      <c r="L65" s="162">
        <f t="shared" si="9"/>
        <v>0</v>
      </c>
      <c r="M65" s="335"/>
      <c r="N65" s="162">
        <f t="shared" si="10"/>
        <v>0</v>
      </c>
      <c r="O65" s="162">
        <f t="shared" si="11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3"/>
        <v>0</v>
      </c>
      <c r="F66" s="163">
        <f t="shared" si="4"/>
        <v>0</v>
      </c>
      <c r="G66" s="165">
        <f t="shared" si="5"/>
        <v>0</v>
      </c>
      <c r="H66" s="147">
        <f t="shared" si="6"/>
        <v>0</v>
      </c>
      <c r="I66" s="160">
        <f t="shared" si="7"/>
        <v>0</v>
      </c>
      <c r="J66" s="160"/>
      <c r="K66" s="335"/>
      <c r="L66" s="162">
        <f t="shared" si="9"/>
        <v>0</v>
      </c>
      <c r="M66" s="335"/>
      <c r="N66" s="162">
        <f t="shared" si="10"/>
        <v>0</v>
      </c>
      <c r="O66" s="162">
        <f t="shared" si="11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3"/>
        <v>0</v>
      </c>
      <c r="F67" s="163">
        <f t="shared" si="4"/>
        <v>0</v>
      </c>
      <c r="G67" s="165">
        <f t="shared" si="5"/>
        <v>0</v>
      </c>
      <c r="H67" s="147">
        <f t="shared" si="6"/>
        <v>0</v>
      </c>
      <c r="I67" s="160">
        <f t="shared" si="7"/>
        <v>0</v>
      </c>
      <c r="J67" s="160"/>
      <c r="K67" s="335"/>
      <c r="L67" s="162">
        <f t="shared" si="9"/>
        <v>0</v>
      </c>
      <c r="M67" s="335"/>
      <c r="N67" s="162">
        <f t="shared" si="10"/>
        <v>0</v>
      </c>
      <c r="O67" s="162">
        <f t="shared" si="11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3"/>
        <v>0</v>
      </c>
      <c r="F68" s="163">
        <f t="shared" si="4"/>
        <v>0</v>
      </c>
      <c r="G68" s="165">
        <f t="shared" si="5"/>
        <v>0</v>
      </c>
      <c r="H68" s="147">
        <f t="shared" si="6"/>
        <v>0</v>
      </c>
      <c r="I68" s="160">
        <f t="shared" si="7"/>
        <v>0</v>
      </c>
      <c r="J68" s="160"/>
      <c r="K68" s="335"/>
      <c r="L68" s="162">
        <f t="shared" si="9"/>
        <v>0</v>
      </c>
      <c r="M68" s="335"/>
      <c r="N68" s="162">
        <f t="shared" si="10"/>
        <v>0</v>
      </c>
      <c r="O68" s="162">
        <f t="shared" si="11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3"/>
        <v>0</v>
      </c>
      <c r="F69" s="163">
        <f t="shared" si="4"/>
        <v>0</v>
      </c>
      <c r="G69" s="165">
        <f t="shared" si="5"/>
        <v>0</v>
      </c>
      <c r="H69" s="147">
        <f t="shared" si="6"/>
        <v>0</v>
      </c>
      <c r="I69" s="160">
        <f t="shared" si="7"/>
        <v>0</v>
      </c>
      <c r="J69" s="160"/>
      <c r="K69" s="335"/>
      <c r="L69" s="162">
        <f t="shared" si="9"/>
        <v>0</v>
      </c>
      <c r="M69" s="335"/>
      <c r="N69" s="162">
        <f t="shared" si="10"/>
        <v>0</v>
      </c>
      <c r="O69" s="162">
        <f t="shared" si="11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3"/>
        <v>0</v>
      </c>
      <c r="F70" s="163">
        <f t="shared" si="4"/>
        <v>0</v>
      </c>
      <c r="G70" s="165">
        <f t="shared" si="5"/>
        <v>0</v>
      </c>
      <c r="H70" s="147">
        <f t="shared" si="6"/>
        <v>0</v>
      </c>
      <c r="I70" s="160">
        <f t="shared" si="7"/>
        <v>0</v>
      </c>
      <c r="J70" s="160"/>
      <c r="K70" s="335"/>
      <c r="L70" s="162">
        <f t="shared" si="9"/>
        <v>0</v>
      </c>
      <c r="M70" s="335"/>
      <c r="N70" s="162">
        <f t="shared" si="10"/>
        <v>0</v>
      </c>
      <c r="O70" s="162">
        <f t="shared" si="11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3"/>
        <v>0</v>
      </c>
      <c r="F71" s="163">
        <f t="shared" si="4"/>
        <v>0</v>
      </c>
      <c r="G71" s="165">
        <f t="shared" si="5"/>
        <v>0</v>
      </c>
      <c r="H71" s="147">
        <f t="shared" si="6"/>
        <v>0</v>
      </c>
      <c r="I71" s="160">
        <f t="shared" si="7"/>
        <v>0</v>
      </c>
      <c r="J71" s="160"/>
      <c r="K71" s="335"/>
      <c r="L71" s="162">
        <f t="shared" si="9"/>
        <v>0</v>
      </c>
      <c r="M71" s="335"/>
      <c r="N71" s="162">
        <f t="shared" si="10"/>
        <v>0</v>
      </c>
      <c r="O71" s="162">
        <f t="shared" si="11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64">
        <f>IF(F71+SUM(E$17:E71)=D$10,F71,D$10-SUM(E$17:E71))</f>
        <v>0</v>
      </c>
      <c r="E72" s="170">
        <f>IF(+I$14&lt;F71,I$14,D72)</f>
        <v>0</v>
      </c>
      <c r="F72" s="169">
        <f>+D72-E72</f>
        <v>0</v>
      </c>
      <c r="G72" s="377">
        <f>(D72+F72)/2*I$12+E72</f>
        <v>0</v>
      </c>
      <c r="H72" s="130">
        <f>+(D72+F72)/2*I$13+E72</f>
        <v>0</v>
      </c>
      <c r="I72" s="172">
        <f>H72-G72</f>
        <v>0</v>
      </c>
      <c r="J72" s="160"/>
      <c r="K72" s="336"/>
      <c r="L72" s="173">
        <f t="shared" si="9"/>
        <v>0</v>
      </c>
      <c r="M72" s="336"/>
      <c r="N72" s="173">
        <f t="shared" si="10"/>
        <v>0</v>
      </c>
      <c r="O72" s="173">
        <f t="shared" si="11"/>
        <v>0</v>
      </c>
      <c r="P72" s="4"/>
    </row>
    <row r="73" spans="2:16">
      <c r="C73" s="158" t="s">
        <v>72</v>
      </c>
      <c r="D73" s="115"/>
      <c r="E73" s="115">
        <f>SUM(E17:E72)</f>
        <v>0</v>
      </c>
      <c r="F73" s="115"/>
      <c r="G73" s="115">
        <f>SUM(G17:G72)</f>
        <v>0</v>
      </c>
      <c r="H73" s="115">
        <f>SUM(H17:H72)</f>
        <v>0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nk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inset project name here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v>2015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4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2015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>+J$94*G99+E99</f>
        <v>0</v>
      </c>
      <c r="I99" s="218">
        <f>+J$95*G99+E99</f>
        <v>0</v>
      </c>
      <c r="J99" s="162">
        <f>+I99-H99</f>
        <v>0</v>
      </c>
      <c r="K99" s="162"/>
      <c r="L99" s="334"/>
      <c r="M99" s="161">
        <f t="shared" ref="M99:M130" si="12">IF(L99&lt;&gt;0,+H99-L99,0)</f>
        <v>0</v>
      </c>
      <c r="N99" s="334"/>
      <c r="O99" s="161">
        <f t="shared" ref="O99:O130" si="13">IF(N99&lt;&gt;0,+I99-N99,0)</f>
        <v>0</v>
      </c>
      <c r="P99" s="161">
        <f t="shared" ref="P99:P130" si="14">+O99-M99</f>
        <v>0</v>
      </c>
    </row>
    <row r="100" spans="1:16">
      <c r="B100" s="9" t="str">
        <f>IF(D100=F99,"","IU")</f>
        <v/>
      </c>
      <c r="C100" s="157">
        <f>IF(D93="","-",+C99+1)</f>
        <v>2016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33">
        <f t="shared" ref="H100:H154" si="15">+J$94*G100+E100</f>
        <v>0</v>
      </c>
      <c r="I100" s="344">
        <f t="shared" ref="I100:I154" si="16">+J$95*G100+E100</f>
        <v>0</v>
      </c>
      <c r="J100" s="162">
        <f t="shared" ref="J100:J130" si="17">+I100-H100</f>
        <v>0</v>
      </c>
      <c r="K100" s="162"/>
      <c r="L100" s="335"/>
      <c r="M100" s="162">
        <f t="shared" si="12"/>
        <v>0</v>
      </c>
      <c r="N100" s="335"/>
      <c r="O100" s="162">
        <f t="shared" si="13"/>
        <v>0</v>
      </c>
      <c r="P100" s="162">
        <f t="shared" si="14"/>
        <v>0</v>
      </c>
    </row>
    <row r="101" spans="1:16">
      <c r="B101" s="9" t="str">
        <f t="shared" ref="B101:B154" si="18">IF(D101=F100,"","IU")</f>
        <v/>
      </c>
      <c r="C101" s="157">
        <f>IF(D93="","-",+C100+1)</f>
        <v>2017</v>
      </c>
      <c r="D101" s="158">
        <f>IF(F100+SUM(E$99:E100)=D$92,F100,D$92-SUM(E$99:E100))</f>
        <v>0</v>
      </c>
      <c r="E101" s="164">
        <f t="shared" ref="E101:E154" si="19">IF(+J$96&lt;F100,J$96,D101)</f>
        <v>0</v>
      </c>
      <c r="F101" s="163">
        <f t="shared" ref="F101:F154" si="20">+D101-E101</f>
        <v>0</v>
      </c>
      <c r="G101" s="163">
        <f t="shared" ref="G101:G154" si="21">+(F101+D101)/2</f>
        <v>0</v>
      </c>
      <c r="H101" s="333">
        <f t="shared" si="15"/>
        <v>0</v>
      </c>
      <c r="I101" s="344">
        <f t="shared" si="16"/>
        <v>0</v>
      </c>
      <c r="J101" s="162">
        <f t="shared" si="17"/>
        <v>0</v>
      </c>
      <c r="K101" s="162"/>
      <c r="L101" s="335"/>
      <c r="M101" s="162">
        <f t="shared" si="12"/>
        <v>0</v>
      </c>
      <c r="N101" s="335"/>
      <c r="O101" s="162">
        <f t="shared" si="13"/>
        <v>0</v>
      </c>
      <c r="P101" s="162">
        <f t="shared" si="14"/>
        <v>0</v>
      </c>
    </row>
    <row r="102" spans="1:16">
      <c r="B102" s="9" t="str">
        <f t="shared" si="18"/>
        <v/>
      </c>
      <c r="C102" s="157">
        <f>IF(D93="","-",+C101+1)</f>
        <v>2018</v>
      </c>
      <c r="D102" s="158">
        <f>IF(F101+SUM(E$99:E101)=D$92,F101,D$92-SUM(E$99:E101))</f>
        <v>0</v>
      </c>
      <c r="E102" s="164">
        <f t="shared" si="19"/>
        <v>0</v>
      </c>
      <c r="F102" s="163">
        <f t="shared" si="20"/>
        <v>0</v>
      </c>
      <c r="G102" s="163">
        <f t="shared" si="21"/>
        <v>0</v>
      </c>
      <c r="H102" s="333">
        <f t="shared" si="15"/>
        <v>0</v>
      </c>
      <c r="I102" s="344">
        <f t="shared" si="16"/>
        <v>0</v>
      </c>
      <c r="J102" s="162">
        <f t="shared" si="17"/>
        <v>0</v>
      </c>
      <c r="K102" s="162"/>
      <c r="L102" s="335"/>
      <c r="M102" s="162">
        <f t="shared" si="12"/>
        <v>0</v>
      </c>
      <c r="N102" s="335"/>
      <c r="O102" s="162">
        <f t="shared" si="13"/>
        <v>0</v>
      </c>
      <c r="P102" s="162">
        <f t="shared" si="14"/>
        <v>0</v>
      </c>
    </row>
    <row r="103" spans="1:16">
      <c r="B103" s="9" t="str">
        <f t="shared" si="18"/>
        <v/>
      </c>
      <c r="C103" s="157">
        <f>IF(D93="","-",+C102+1)</f>
        <v>2019</v>
      </c>
      <c r="D103" s="158">
        <f>IF(F102+SUM(E$99:E102)=D$92,F102,D$92-SUM(E$99:E102))</f>
        <v>0</v>
      </c>
      <c r="E103" s="164">
        <f t="shared" si="19"/>
        <v>0</v>
      </c>
      <c r="F103" s="163">
        <f t="shared" si="20"/>
        <v>0</v>
      </c>
      <c r="G103" s="163">
        <f t="shared" si="21"/>
        <v>0</v>
      </c>
      <c r="H103" s="333">
        <f t="shared" si="15"/>
        <v>0</v>
      </c>
      <c r="I103" s="344">
        <f t="shared" si="16"/>
        <v>0</v>
      </c>
      <c r="J103" s="162">
        <f t="shared" si="17"/>
        <v>0</v>
      </c>
      <c r="K103" s="162"/>
      <c r="L103" s="335"/>
      <c r="M103" s="162">
        <f t="shared" si="12"/>
        <v>0</v>
      </c>
      <c r="N103" s="335"/>
      <c r="O103" s="162">
        <f t="shared" si="13"/>
        <v>0</v>
      </c>
      <c r="P103" s="162">
        <f t="shared" si="14"/>
        <v>0</v>
      </c>
    </row>
    <row r="104" spans="1:16">
      <c r="B104" s="9" t="str">
        <f t="shared" si="18"/>
        <v/>
      </c>
      <c r="C104" s="157">
        <f>IF(D93="","-",+C103+1)</f>
        <v>2020</v>
      </c>
      <c r="D104" s="158">
        <f>IF(F103+SUM(E$99:E103)=D$92,F103,D$92-SUM(E$99:E103))</f>
        <v>0</v>
      </c>
      <c r="E104" s="164">
        <f t="shared" si="19"/>
        <v>0</v>
      </c>
      <c r="F104" s="163">
        <f t="shared" si="20"/>
        <v>0</v>
      </c>
      <c r="G104" s="163">
        <f t="shared" si="21"/>
        <v>0</v>
      </c>
      <c r="H104" s="333">
        <f t="shared" si="15"/>
        <v>0</v>
      </c>
      <c r="I104" s="344">
        <f t="shared" si="16"/>
        <v>0</v>
      </c>
      <c r="J104" s="162">
        <f t="shared" si="17"/>
        <v>0</v>
      </c>
      <c r="K104" s="162"/>
      <c r="L104" s="335"/>
      <c r="M104" s="162">
        <f t="shared" si="12"/>
        <v>0</v>
      </c>
      <c r="N104" s="335"/>
      <c r="O104" s="162">
        <f t="shared" si="13"/>
        <v>0</v>
      </c>
      <c r="P104" s="162">
        <f t="shared" si="14"/>
        <v>0</v>
      </c>
    </row>
    <row r="105" spans="1:16">
      <c r="B105" s="9" t="str">
        <f t="shared" si="18"/>
        <v/>
      </c>
      <c r="C105" s="157">
        <f>IF(D93="","-",+C104+1)</f>
        <v>2021</v>
      </c>
      <c r="D105" s="158">
        <f>IF(F104+SUM(E$99:E104)=D$92,F104,D$92-SUM(E$99:E104))</f>
        <v>0</v>
      </c>
      <c r="E105" s="164">
        <f t="shared" si="19"/>
        <v>0</v>
      </c>
      <c r="F105" s="163">
        <f t="shared" si="20"/>
        <v>0</v>
      </c>
      <c r="G105" s="163">
        <f t="shared" si="21"/>
        <v>0</v>
      </c>
      <c r="H105" s="333">
        <f t="shared" si="15"/>
        <v>0</v>
      </c>
      <c r="I105" s="344">
        <f t="shared" si="16"/>
        <v>0</v>
      </c>
      <c r="J105" s="162">
        <f t="shared" si="17"/>
        <v>0</v>
      </c>
      <c r="K105" s="162"/>
      <c r="L105" s="335"/>
      <c r="M105" s="162">
        <f t="shared" si="12"/>
        <v>0</v>
      </c>
      <c r="N105" s="335"/>
      <c r="O105" s="162">
        <f t="shared" si="13"/>
        <v>0</v>
      </c>
      <c r="P105" s="162">
        <f t="shared" si="14"/>
        <v>0</v>
      </c>
    </row>
    <row r="106" spans="1:16">
      <c r="B106" s="9" t="str">
        <f t="shared" si="18"/>
        <v/>
      </c>
      <c r="C106" s="157">
        <f>IF(D93="","-",+C105+1)</f>
        <v>2022</v>
      </c>
      <c r="D106" s="158">
        <f>IF(F105+SUM(E$99:E105)=D$92,F105,D$92-SUM(E$99:E105))</f>
        <v>0</v>
      </c>
      <c r="E106" s="164">
        <f t="shared" si="19"/>
        <v>0</v>
      </c>
      <c r="F106" s="163">
        <f t="shared" si="20"/>
        <v>0</v>
      </c>
      <c r="G106" s="163">
        <f t="shared" si="21"/>
        <v>0</v>
      </c>
      <c r="H106" s="333">
        <f t="shared" si="15"/>
        <v>0</v>
      </c>
      <c r="I106" s="344">
        <f t="shared" si="16"/>
        <v>0</v>
      </c>
      <c r="J106" s="162">
        <f t="shared" si="17"/>
        <v>0</v>
      </c>
      <c r="K106" s="162"/>
      <c r="L106" s="335"/>
      <c r="M106" s="162">
        <f t="shared" si="12"/>
        <v>0</v>
      </c>
      <c r="N106" s="335"/>
      <c r="O106" s="162">
        <f t="shared" si="13"/>
        <v>0</v>
      </c>
      <c r="P106" s="162">
        <f t="shared" si="14"/>
        <v>0</v>
      </c>
    </row>
    <row r="107" spans="1:16">
      <c r="B107" s="9" t="str">
        <f t="shared" si="18"/>
        <v/>
      </c>
      <c r="C107" s="157">
        <f>IF(D93="","-",+C106+1)</f>
        <v>2023</v>
      </c>
      <c r="D107" s="158">
        <f>IF(F106+SUM(E$99:E106)=D$92,F106,D$92-SUM(E$99:E106))</f>
        <v>0</v>
      </c>
      <c r="E107" s="164">
        <f t="shared" si="19"/>
        <v>0</v>
      </c>
      <c r="F107" s="163">
        <f t="shared" si="20"/>
        <v>0</v>
      </c>
      <c r="G107" s="163">
        <f t="shared" si="21"/>
        <v>0</v>
      </c>
      <c r="H107" s="333">
        <f t="shared" si="15"/>
        <v>0</v>
      </c>
      <c r="I107" s="344">
        <f t="shared" si="16"/>
        <v>0</v>
      </c>
      <c r="J107" s="162">
        <f t="shared" si="17"/>
        <v>0</v>
      </c>
      <c r="K107" s="162"/>
      <c r="L107" s="335"/>
      <c r="M107" s="162">
        <f t="shared" si="12"/>
        <v>0</v>
      </c>
      <c r="N107" s="335"/>
      <c r="O107" s="162">
        <f t="shared" si="13"/>
        <v>0</v>
      </c>
      <c r="P107" s="162">
        <f t="shared" si="14"/>
        <v>0</v>
      </c>
    </row>
    <row r="108" spans="1:16">
      <c r="B108" s="9" t="str">
        <f t="shared" si="18"/>
        <v/>
      </c>
      <c r="C108" s="157">
        <f>IF(D93="","-",+C107+1)</f>
        <v>2024</v>
      </c>
      <c r="D108" s="158">
        <f>IF(F107+SUM(E$99:E107)=D$92,F107,D$92-SUM(E$99:E107))</f>
        <v>0</v>
      </c>
      <c r="E108" s="164">
        <f t="shared" si="19"/>
        <v>0</v>
      </c>
      <c r="F108" s="163">
        <f t="shared" si="20"/>
        <v>0</v>
      </c>
      <c r="G108" s="163">
        <f t="shared" si="21"/>
        <v>0</v>
      </c>
      <c r="H108" s="333">
        <f t="shared" si="15"/>
        <v>0</v>
      </c>
      <c r="I108" s="344">
        <f t="shared" si="16"/>
        <v>0</v>
      </c>
      <c r="J108" s="162">
        <f t="shared" si="17"/>
        <v>0</v>
      </c>
      <c r="K108" s="162"/>
      <c r="L108" s="335"/>
      <c r="M108" s="162">
        <f t="shared" si="12"/>
        <v>0</v>
      </c>
      <c r="N108" s="335"/>
      <c r="O108" s="162">
        <f t="shared" si="13"/>
        <v>0</v>
      </c>
      <c r="P108" s="162">
        <f t="shared" si="14"/>
        <v>0</v>
      </c>
    </row>
    <row r="109" spans="1:16">
      <c r="B109" s="9" t="str">
        <f t="shared" si="18"/>
        <v/>
      </c>
      <c r="C109" s="157">
        <f>IF(D93="","-",+C108+1)</f>
        <v>2025</v>
      </c>
      <c r="D109" s="158">
        <f>IF(F108+SUM(E$99:E108)=D$92,F108,D$92-SUM(E$99:E108))</f>
        <v>0</v>
      </c>
      <c r="E109" s="164">
        <f t="shared" si="19"/>
        <v>0</v>
      </c>
      <c r="F109" s="163">
        <f t="shared" si="20"/>
        <v>0</v>
      </c>
      <c r="G109" s="163">
        <f t="shared" si="21"/>
        <v>0</v>
      </c>
      <c r="H109" s="333">
        <f t="shared" si="15"/>
        <v>0</v>
      </c>
      <c r="I109" s="344">
        <f t="shared" si="16"/>
        <v>0</v>
      </c>
      <c r="J109" s="162">
        <f t="shared" si="17"/>
        <v>0</v>
      </c>
      <c r="K109" s="162"/>
      <c r="L109" s="335"/>
      <c r="M109" s="162">
        <f t="shared" si="12"/>
        <v>0</v>
      </c>
      <c r="N109" s="335"/>
      <c r="O109" s="162">
        <f t="shared" si="13"/>
        <v>0</v>
      </c>
      <c r="P109" s="162">
        <f t="shared" si="14"/>
        <v>0</v>
      </c>
    </row>
    <row r="110" spans="1:16">
      <c r="B110" s="9" t="str">
        <f t="shared" si="18"/>
        <v/>
      </c>
      <c r="C110" s="157">
        <f>IF(D93="","-",+C109+1)</f>
        <v>2026</v>
      </c>
      <c r="D110" s="158">
        <f>IF(F109+SUM(E$99:E109)=D$92,F109,D$92-SUM(E$99:E109))</f>
        <v>0</v>
      </c>
      <c r="E110" s="164">
        <f t="shared" si="19"/>
        <v>0</v>
      </c>
      <c r="F110" s="163">
        <f t="shared" si="20"/>
        <v>0</v>
      </c>
      <c r="G110" s="163">
        <f t="shared" si="21"/>
        <v>0</v>
      </c>
      <c r="H110" s="333">
        <f t="shared" si="15"/>
        <v>0</v>
      </c>
      <c r="I110" s="344">
        <f t="shared" si="16"/>
        <v>0</v>
      </c>
      <c r="J110" s="162">
        <f t="shared" si="17"/>
        <v>0</v>
      </c>
      <c r="K110" s="162"/>
      <c r="L110" s="335"/>
      <c r="M110" s="162">
        <f t="shared" si="12"/>
        <v>0</v>
      </c>
      <c r="N110" s="335"/>
      <c r="O110" s="162">
        <f t="shared" si="13"/>
        <v>0</v>
      </c>
      <c r="P110" s="162">
        <f t="shared" si="14"/>
        <v>0</v>
      </c>
    </row>
    <row r="111" spans="1:16">
      <c r="B111" s="9" t="str">
        <f t="shared" si="18"/>
        <v/>
      </c>
      <c r="C111" s="157">
        <f>IF(D93="","-",+C110+1)</f>
        <v>2027</v>
      </c>
      <c r="D111" s="158">
        <f>IF(F110+SUM(E$99:E110)=D$92,F110,D$92-SUM(E$99:E110))</f>
        <v>0</v>
      </c>
      <c r="E111" s="164">
        <f t="shared" si="19"/>
        <v>0</v>
      </c>
      <c r="F111" s="163">
        <f t="shared" si="20"/>
        <v>0</v>
      </c>
      <c r="G111" s="163">
        <f t="shared" si="21"/>
        <v>0</v>
      </c>
      <c r="H111" s="333">
        <f t="shared" si="15"/>
        <v>0</v>
      </c>
      <c r="I111" s="344">
        <f t="shared" si="16"/>
        <v>0</v>
      </c>
      <c r="J111" s="162">
        <f t="shared" si="17"/>
        <v>0</v>
      </c>
      <c r="K111" s="162"/>
      <c r="L111" s="335"/>
      <c r="M111" s="162">
        <f t="shared" si="12"/>
        <v>0</v>
      </c>
      <c r="N111" s="335"/>
      <c r="O111" s="162">
        <f t="shared" si="13"/>
        <v>0</v>
      </c>
      <c r="P111" s="162">
        <f t="shared" si="14"/>
        <v>0</v>
      </c>
    </row>
    <row r="112" spans="1:16">
      <c r="B112" s="9" t="str">
        <f t="shared" si="18"/>
        <v/>
      </c>
      <c r="C112" s="157">
        <f>IF(D93="","-",+C111+1)</f>
        <v>2028</v>
      </c>
      <c r="D112" s="158">
        <f>IF(F111+SUM(E$99:E111)=D$92,F111,D$92-SUM(E$99:E111))</f>
        <v>0</v>
      </c>
      <c r="E112" s="164">
        <f t="shared" si="19"/>
        <v>0</v>
      </c>
      <c r="F112" s="163">
        <f t="shared" si="20"/>
        <v>0</v>
      </c>
      <c r="G112" s="163">
        <f t="shared" si="21"/>
        <v>0</v>
      </c>
      <c r="H112" s="333">
        <f t="shared" si="15"/>
        <v>0</v>
      </c>
      <c r="I112" s="344">
        <f t="shared" si="16"/>
        <v>0</v>
      </c>
      <c r="J112" s="162">
        <f t="shared" si="17"/>
        <v>0</v>
      </c>
      <c r="K112" s="162"/>
      <c r="L112" s="335"/>
      <c r="M112" s="162">
        <f t="shared" si="12"/>
        <v>0</v>
      </c>
      <c r="N112" s="335"/>
      <c r="O112" s="162">
        <f t="shared" si="13"/>
        <v>0</v>
      </c>
      <c r="P112" s="162">
        <f t="shared" si="14"/>
        <v>0</v>
      </c>
    </row>
    <row r="113" spans="2:16">
      <c r="B113" s="9" t="str">
        <f t="shared" si="18"/>
        <v/>
      </c>
      <c r="C113" s="157">
        <f>IF(D93="","-",+C112+1)</f>
        <v>2029</v>
      </c>
      <c r="D113" s="158">
        <f>IF(F112+SUM(E$99:E112)=D$92,F112,D$92-SUM(E$99:E112))</f>
        <v>0</v>
      </c>
      <c r="E113" s="164">
        <f t="shared" si="19"/>
        <v>0</v>
      </c>
      <c r="F113" s="163">
        <f t="shared" si="20"/>
        <v>0</v>
      </c>
      <c r="G113" s="163">
        <f t="shared" si="21"/>
        <v>0</v>
      </c>
      <c r="H113" s="333">
        <f t="shared" si="15"/>
        <v>0</v>
      </c>
      <c r="I113" s="344">
        <f t="shared" si="16"/>
        <v>0</v>
      </c>
      <c r="J113" s="162">
        <f t="shared" si="17"/>
        <v>0</v>
      </c>
      <c r="K113" s="162"/>
      <c r="L113" s="335"/>
      <c r="M113" s="162">
        <f t="shared" si="12"/>
        <v>0</v>
      </c>
      <c r="N113" s="335"/>
      <c r="O113" s="162">
        <f t="shared" si="13"/>
        <v>0</v>
      </c>
      <c r="P113" s="162">
        <f t="shared" si="14"/>
        <v>0</v>
      </c>
    </row>
    <row r="114" spans="2:16">
      <c r="B114" s="9" t="str">
        <f t="shared" si="18"/>
        <v/>
      </c>
      <c r="C114" s="157">
        <f>IF(D93="","-",+C113+1)</f>
        <v>2030</v>
      </c>
      <c r="D114" s="158">
        <f>IF(F113+SUM(E$99:E113)=D$92,F113,D$92-SUM(E$99:E113))</f>
        <v>0</v>
      </c>
      <c r="E114" s="164">
        <f t="shared" si="19"/>
        <v>0</v>
      </c>
      <c r="F114" s="163">
        <f t="shared" si="20"/>
        <v>0</v>
      </c>
      <c r="G114" s="163">
        <f t="shared" si="21"/>
        <v>0</v>
      </c>
      <c r="H114" s="333">
        <f t="shared" si="15"/>
        <v>0</v>
      </c>
      <c r="I114" s="344">
        <f t="shared" si="16"/>
        <v>0</v>
      </c>
      <c r="J114" s="162">
        <f t="shared" si="17"/>
        <v>0</v>
      </c>
      <c r="K114" s="162"/>
      <c r="L114" s="335"/>
      <c r="M114" s="162">
        <f t="shared" si="12"/>
        <v>0</v>
      </c>
      <c r="N114" s="335"/>
      <c r="O114" s="162">
        <f t="shared" si="13"/>
        <v>0</v>
      </c>
      <c r="P114" s="162">
        <f t="shared" si="14"/>
        <v>0</v>
      </c>
    </row>
    <row r="115" spans="2:16">
      <c r="B115" s="9" t="str">
        <f t="shared" si="18"/>
        <v/>
      </c>
      <c r="C115" s="157">
        <f>IF(D93="","-",+C114+1)</f>
        <v>2031</v>
      </c>
      <c r="D115" s="158">
        <f>IF(F114+SUM(E$99:E114)=D$92,F114,D$92-SUM(E$99:E114))</f>
        <v>0</v>
      </c>
      <c r="E115" s="164">
        <f t="shared" si="19"/>
        <v>0</v>
      </c>
      <c r="F115" s="163">
        <f t="shared" si="20"/>
        <v>0</v>
      </c>
      <c r="G115" s="163">
        <f t="shared" si="21"/>
        <v>0</v>
      </c>
      <c r="H115" s="333">
        <f t="shared" si="15"/>
        <v>0</v>
      </c>
      <c r="I115" s="344">
        <f t="shared" si="16"/>
        <v>0</v>
      </c>
      <c r="J115" s="162">
        <f t="shared" si="17"/>
        <v>0</v>
      </c>
      <c r="K115" s="162"/>
      <c r="L115" s="335"/>
      <c r="M115" s="162">
        <f t="shared" si="12"/>
        <v>0</v>
      </c>
      <c r="N115" s="335"/>
      <c r="O115" s="162">
        <f t="shared" si="13"/>
        <v>0</v>
      </c>
      <c r="P115" s="162">
        <f t="shared" si="14"/>
        <v>0</v>
      </c>
    </row>
    <row r="116" spans="2:16">
      <c r="B116" s="9" t="str">
        <f t="shared" si="18"/>
        <v/>
      </c>
      <c r="C116" s="157">
        <f>IF(D93="","-",+C115+1)</f>
        <v>2032</v>
      </c>
      <c r="D116" s="158">
        <f>IF(F115+SUM(E$99:E115)=D$92,F115,D$92-SUM(E$99:E115))</f>
        <v>0</v>
      </c>
      <c r="E116" s="164">
        <f t="shared" si="19"/>
        <v>0</v>
      </c>
      <c r="F116" s="163">
        <f t="shared" si="20"/>
        <v>0</v>
      </c>
      <c r="G116" s="163">
        <f t="shared" si="21"/>
        <v>0</v>
      </c>
      <c r="H116" s="333">
        <f t="shared" si="15"/>
        <v>0</v>
      </c>
      <c r="I116" s="344">
        <f t="shared" si="16"/>
        <v>0</v>
      </c>
      <c r="J116" s="162">
        <f t="shared" si="17"/>
        <v>0</v>
      </c>
      <c r="K116" s="162"/>
      <c r="L116" s="335"/>
      <c r="M116" s="162">
        <f t="shared" si="12"/>
        <v>0</v>
      </c>
      <c r="N116" s="335"/>
      <c r="O116" s="162">
        <f t="shared" si="13"/>
        <v>0</v>
      </c>
      <c r="P116" s="162">
        <f t="shared" si="14"/>
        <v>0</v>
      </c>
    </row>
    <row r="117" spans="2:16">
      <c r="B117" s="9" t="str">
        <f t="shared" si="18"/>
        <v/>
      </c>
      <c r="C117" s="157">
        <f>IF(D93="","-",+C116+1)</f>
        <v>2033</v>
      </c>
      <c r="D117" s="158">
        <f>IF(F116+SUM(E$99:E116)=D$92,F116,D$92-SUM(E$99:E116))</f>
        <v>0</v>
      </c>
      <c r="E117" s="164">
        <f t="shared" si="19"/>
        <v>0</v>
      </c>
      <c r="F117" s="163">
        <f t="shared" si="20"/>
        <v>0</v>
      </c>
      <c r="G117" s="163">
        <f t="shared" si="21"/>
        <v>0</v>
      </c>
      <c r="H117" s="333">
        <f t="shared" si="15"/>
        <v>0</v>
      </c>
      <c r="I117" s="344">
        <f t="shared" si="16"/>
        <v>0</v>
      </c>
      <c r="J117" s="162">
        <f t="shared" si="17"/>
        <v>0</v>
      </c>
      <c r="K117" s="162"/>
      <c r="L117" s="335"/>
      <c r="M117" s="162">
        <f t="shared" si="12"/>
        <v>0</v>
      </c>
      <c r="N117" s="335"/>
      <c r="O117" s="162">
        <f t="shared" si="13"/>
        <v>0</v>
      </c>
      <c r="P117" s="162">
        <f t="shared" si="14"/>
        <v>0</v>
      </c>
    </row>
    <row r="118" spans="2:16">
      <c r="B118" s="9" t="str">
        <f t="shared" si="18"/>
        <v/>
      </c>
      <c r="C118" s="157">
        <f>IF(D93="","-",+C117+1)</f>
        <v>2034</v>
      </c>
      <c r="D118" s="158">
        <f>IF(F117+SUM(E$99:E117)=D$92,F117,D$92-SUM(E$99:E117))</f>
        <v>0</v>
      </c>
      <c r="E118" s="164">
        <f t="shared" si="19"/>
        <v>0</v>
      </c>
      <c r="F118" s="163">
        <f t="shared" si="20"/>
        <v>0</v>
      </c>
      <c r="G118" s="163">
        <f t="shared" si="21"/>
        <v>0</v>
      </c>
      <c r="H118" s="333">
        <f t="shared" si="15"/>
        <v>0</v>
      </c>
      <c r="I118" s="344">
        <f t="shared" si="16"/>
        <v>0</v>
      </c>
      <c r="J118" s="162">
        <f t="shared" si="17"/>
        <v>0</v>
      </c>
      <c r="K118" s="162"/>
      <c r="L118" s="335"/>
      <c r="M118" s="162">
        <f t="shared" si="12"/>
        <v>0</v>
      </c>
      <c r="N118" s="335"/>
      <c r="O118" s="162">
        <f t="shared" si="13"/>
        <v>0</v>
      </c>
      <c r="P118" s="162">
        <f t="shared" si="14"/>
        <v>0</v>
      </c>
    </row>
    <row r="119" spans="2:16">
      <c r="B119" s="9" t="str">
        <f t="shared" si="18"/>
        <v/>
      </c>
      <c r="C119" s="157">
        <f>IF(D93="","-",+C118+1)</f>
        <v>2035</v>
      </c>
      <c r="D119" s="158">
        <f>IF(F118+SUM(E$99:E118)=D$92,F118,D$92-SUM(E$99:E118))</f>
        <v>0</v>
      </c>
      <c r="E119" s="164">
        <f t="shared" si="19"/>
        <v>0</v>
      </c>
      <c r="F119" s="163">
        <f t="shared" si="20"/>
        <v>0</v>
      </c>
      <c r="G119" s="163">
        <f t="shared" si="21"/>
        <v>0</v>
      </c>
      <c r="H119" s="333">
        <f t="shared" si="15"/>
        <v>0</v>
      </c>
      <c r="I119" s="344">
        <f t="shared" si="16"/>
        <v>0</v>
      </c>
      <c r="J119" s="162">
        <f t="shared" si="17"/>
        <v>0</v>
      </c>
      <c r="K119" s="162"/>
      <c r="L119" s="335"/>
      <c r="M119" s="162">
        <f t="shared" si="12"/>
        <v>0</v>
      </c>
      <c r="N119" s="335"/>
      <c r="O119" s="162">
        <f t="shared" si="13"/>
        <v>0</v>
      </c>
      <c r="P119" s="162">
        <f t="shared" si="14"/>
        <v>0</v>
      </c>
    </row>
    <row r="120" spans="2:16">
      <c r="B120" s="9" t="str">
        <f t="shared" si="18"/>
        <v/>
      </c>
      <c r="C120" s="157">
        <f>IF(D93="","-",+C119+1)</f>
        <v>2036</v>
      </c>
      <c r="D120" s="158">
        <f>IF(F119+SUM(E$99:E119)=D$92,F119,D$92-SUM(E$99:E119))</f>
        <v>0</v>
      </c>
      <c r="E120" s="164">
        <f t="shared" si="19"/>
        <v>0</v>
      </c>
      <c r="F120" s="163">
        <f t="shared" si="20"/>
        <v>0</v>
      </c>
      <c r="G120" s="163">
        <f t="shared" si="21"/>
        <v>0</v>
      </c>
      <c r="H120" s="333">
        <f t="shared" si="15"/>
        <v>0</v>
      </c>
      <c r="I120" s="344">
        <f t="shared" si="16"/>
        <v>0</v>
      </c>
      <c r="J120" s="162">
        <f t="shared" si="17"/>
        <v>0</v>
      </c>
      <c r="K120" s="162"/>
      <c r="L120" s="335"/>
      <c r="M120" s="162">
        <f t="shared" si="12"/>
        <v>0</v>
      </c>
      <c r="N120" s="335"/>
      <c r="O120" s="162">
        <f t="shared" si="13"/>
        <v>0</v>
      </c>
      <c r="P120" s="162">
        <f t="shared" si="14"/>
        <v>0</v>
      </c>
    </row>
    <row r="121" spans="2:16">
      <c r="B121" s="9" t="str">
        <f t="shared" si="18"/>
        <v/>
      </c>
      <c r="C121" s="157">
        <f>IF(D93="","-",+C120+1)</f>
        <v>2037</v>
      </c>
      <c r="D121" s="158">
        <f>IF(F120+SUM(E$99:E120)=D$92,F120,D$92-SUM(E$99:E120))</f>
        <v>0</v>
      </c>
      <c r="E121" s="164">
        <f t="shared" si="19"/>
        <v>0</v>
      </c>
      <c r="F121" s="163">
        <f t="shared" si="20"/>
        <v>0</v>
      </c>
      <c r="G121" s="163">
        <f t="shared" si="21"/>
        <v>0</v>
      </c>
      <c r="H121" s="333">
        <f t="shared" si="15"/>
        <v>0</v>
      </c>
      <c r="I121" s="344">
        <f t="shared" si="16"/>
        <v>0</v>
      </c>
      <c r="J121" s="162">
        <f t="shared" si="17"/>
        <v>0</v>
      </c>
      <c r="K121" s="162"/>
      <c r="L121" s="335"/>
      <c r="M121" s="162">
        <f t="shared" si="12"/>
        <v>0</v>
      </c>
      <c r="N121" s="335"/>
      <c r="O121" s="162">
        <f t="shared" si="13"/>
        <v>0</v>
      </c>
      <c r="P121" s="162">
        <f t="shared" si="14"/>
        <v>0</v>
      </c>
    </row>
    <row r="122" spans="2:16">
      <c r="B122" s="9" t="str">
        <f t="shared" si="18"/>
        <v/>
      </c>
      <c r="C122" s="157">
        <f>IF(D93="","-",+C121+1)</f>
        <v>2038</v>
      </c>
      <c r="D122" s="158">
        <f>IF(F121+SUM(E$99:E121)=D$92,F121,D$92-SUM(E$99:E121))</f>
        <v>0</v>
      </c>
      <c r="E122" s="164">
        <f t="shared" si="19"/>
        <v>0</v>
      </c>
      <c r="F122" s="163">
        <f t="shared" si="20"/>
        <v>0</v>
      </c>
      <c r="G122" s="163">
        <f t="shared" si="21"/>
        <v>0</v>
      </c>
      <c r="H122" s="333">
        <f t="shared" si="15"/>
        <v>0</v>
      </c>
      <c r="I122" s="344">
        <f t="shared" si="16"/>
        <v>0</v>
      </c>
      <c r="J122" s="162">
        <f t="shared" si="17"/>
        <v>0</v>
      </c>
      <c r="K122" s="162"/>
      <c r="L122" s="335"/>
      <c r="M122" s="162">
        <f t="shared" si="12"/>
        <v>0</v>
      </c>
      <c r="N122" s="335"/>
      <c r="O122" s="162">
        <f t="shared" si="13"/>
        <v>0</v>
      </c>
      <c r="P122" s="162">
        <f t="shared" si="14"/>
        <v>0</v>
      </c>
    </row>
    <row r="123" spans="2:16">
      <c r="B123" s="9" t="str">
        <f t="shared" si="18"/>
        <v/>
      </c>
      <c r="C123" s="157">
        <f>IF(D93="","-",+C122+1)</f>
        <v>2039</v>
      </c>
      <c r="D123" s="158">
        <f>IF(F122+SUM(E$99:E122)=D$92,F122,D$92-SUM(E$99:E122))</f>
        <v>0</v>
      </c>
      <c r="E123" s="164">
        <f t="shared" si="19"/>
        <v>0</v>
      </c>
      <c r="F123" s="163">
        <f t="shared" si="20"/>
        <v>0</v>
      </c>
      <c r="G123" s="163">
        <f t="shared" si="21"/>
        <v>0</v>
      </c>
      <c r="H123" s="333">
        <f t="shared" si="15"/>
        <v>0</v>
      </c>
      <c r="I123" s="344">
        <f t="shared" si="16"/>
        <v>0</v>
      </c>
      <c r="J123" s="162">
        <f t="shared" si="17"/>
        <v>0</v>
      </c>
      <c r="K123" s="162"/>
      <c r="L123" s="335"/>
      <c r="M123" s="162">
        <f t="shared" si="12"/>
        <v>0</v>
      </c>
      <c r="N123" s="335"/>
      <c r="O123" s="162">
        <f t="shared" si="13"/>
        <v>0</v>
      </c>
      <c r="P123" s="162">
        <f t="shared" si="14"/>
        <v>0</v>
      </c>
    </row>
    <row r="124" spans="2:16">
      <c r="B124" s="9" t="str">
        <f t="shared" si="18"/>
        <v/>
      </c>
      <c r="C124" s="157">
        <f>IF(D93="","-",+C123+1)</f>
        <v>2040</v>
      </c>
      <c r="D124" s="158">
        <f>IF(F123+SUM(E$99:E123)=D$92,F123,D$92-SUM(E$99:E123))</f>
        <v>0</v>
      </c>
      <c r="E124" s="164">
        <f t="shared" si="19"/>
        <v>0</v>
      </c>
      <c r="F124" s="163">
        <f t="shared" si="20"/>
        <v>0</v>
      </c>
      <c r="G124" s="163">
        <f t="shared" si="21"/>
        <v>0</v>
      </c>
      <c r="H124" s="333">
        <f t="shared" si="15"/>
        <v>0</v>
      </c>
      <c r="I124" s="344">
        <f t="shared" si="16"/>
        <v>0</v>
      </c>
      <c r="J124" s="162">
        <f t="shared" si="17"/>
        <v>0</v>
      </c>
      <c r="K124" s="162"/>
      <c r="L124" s="335"/>
      <c r="M124" s="162">
        <f t="shared" si="12"/>
        <v>0</v>
      </c>
      <c r="N124" s="335"/>
      <c r="O124" s="162">
        <f t="shared" si="13"/>
        <v>0</v>
      </c>
      <c r="P124" s="162">
        <f t="shared" si="14"/>
        <v>0</v>
      </c>
    </row>
    <row r="125" spans="2:16">
      <c r="B125" s="9" t="str">
        <f t="shared" si="18"/>
        <v/>
      </c>
      <c r="C125" s="157">
        <f>IF(D93="","-",+C124+1)</f>
        <v>2041</v>
      </c>
      <c r="D125" s="158">
        <f>IF(F124+SUM(E$99:E124)=D$92,F124,D$92-SUM(E$99:E124))</f>
        <v>0</v>
      </c>
      <c r="E125" s="164">
        <f t="shared" si="19"/>
        <v>0</v>
      </c>
      <c r="F125" s="163">
        <f t="shared" si="20"/>
        <v>0</v>
      </c>
      <c r="G125" s="163">
        <f t="shared" si="21"/>
        <v>0</v>
      </c>
      <c r="H125" s="333">
        <f t="shared" si="15"/>
        <v>0</v>
      </c>
      <c r="I125" s="344">
        <f t="shared" si="16"/>
        <v>0</v>
      </c>
      <c r="J125" s="162">
        <f t="shared" si="17"/>
        <v>0</v>
      </c>
      <c r="K125" s="162"/>
      <c r="L125" s="335"/>
      <c r="M125" s="162">
        <f t="shared" si="12"/>
        <v>0</v>
      </c>
      <c r="N125" s="335"/>
      <c r="O125" s="162">
        <f t="shared" si="13"/>
        <v>0</v>
      </c>
      <c r="P125" s="162">
        <f t="shared" si="14"/>
        <v>0</v>
      </c>
    </row>
    <row r="126" spans="2:16">
      <c r="B126" s="9" t="str">
        <f t="shared" si="18"/>
        <v/>
      </c>
      <c r="C126" s="157">
        <f>IF(D93="","-",+C125+1)</f>
        <v>2042</v>
      </c>
      <c r="D126" s="158">
        <f>IF(F125+SUM(E$99:E125)=D$92,F125,D$92-SUM(E$99:E125))</f>
        <v>0</v>
      </c>
      <c r="E126" s="164">
        <f t="shared" si="19"/>
        <v>0</v>
      </c>
      <c r="F126" s="163">
        <f t="shared" si="20"/>
        <v>0</v>
      </c>
      <c r="G126" s="163">
        <f t="shared" si="21"/>
        <v>0</v>
      </c>
      <c r="H126" s="333">
        <f t="shared" si="15"/>
        <v>0</v>
      </c>
      <c r="I126" s="344">
        <f t="shared" si="16"/>
        <v>0</v>
      </c>
      <c r="J126" s="162">
        <f t="shared" si="17"/>
        <v>0</v>
      </c>
      <c r="K126" s="162"/>
      <c r="L126" s="335"/>
      <c r="M126" s="162">
        <f t="shared" si="12"/>
        <v>0</v>
      </c>
      <c r="N126" s="335"/>
      <c r="O126" s="162">
        <f t="shared" si="13"/>
        <v>0</v>
      </c>
      <c r="P126" s="162">
        <f t="shared" si="14"/>
        <v>0</v>
      </c>
    </row>
    <row r="127" spans="2:16">
      <c r="B127" s="9" t="str">
        <f t="shared" si="18"/>
        <v/>
      </c>
      <c r="C127" s="157">
        <f>IF(D93="","-",+C126+1)</f>
        <v>2043</v>
      </c>
      <c r="D127" s="158">
        <f>IF(F126+SUM(E$99:E126)=D$92,F126,D$92-SUM(E$99:E126))</f>
        <v>0</v>
      </c>
      <c r="E127" s="164">
        <f t="shared" si="19"/>
        <v>0</v>
      </c>
      <c r="F127" s="163">
        <f t="shared" si="20"/>
        <v>0</v>
      </c>
      <c r="G127" s="163">
        <f t="shared" si="21"/>
        <v>0</v>
      </c>
      <c r="H127" s="333">
        <f t="shared" si="15"/>
        <v>0</v>
      </c>
      <c r="I127" s="344">
        <f t="shared" si="16"/>
        <v>0</v>
      </c>
      <c r="J127" s="162">
        <f t="shared" si="17"/>
        <v>0</v>
      </c>
      <c r="K127" s="162"/>
      <c r="L127" s="335"/>
      <c r="M127" s="162">
        <f t="shared" si="12"/>
        <v>0</v>
      </c>
      <c r="N127" s="335"/>
      <c r="O127" s="162">
        <f t="shared" si="13"/>
        <v>0</v>
      </c>
      <c r="P127" s="162">
        <f t="shared" si="14"/>
        <v>0</v>
      </c>
    </row>
    <row r="128" spans="2:16">
      <c r="B128" s="9" t="str">
        <f t="shared" si="18"/>
        <v/>
      </c>
      <c r="C128" s="157">
        <f>IF(D93="","-",+C127+1)</f>
        <v>2044</v>
      </c>
      <c r="D128" s="158">
        <f>IF(F127+SUM(E$99:E127)=D$92,F127,D$92-SUM(E$99:E127))</f>
        <v>0</v>
      </c>
      <c r="E128" s="164">
        <f t="shared" si="19"/>
        <v>0</v>
      </c>
      <c r="F128" s="163">
        <f t="shared" si="20"/>
        <v>0</v>
      </c>
      <c r="G128" s="163">
        <f t="shared" si="21"/>
        <v>0</v>
      </c>
      <c r="H128" s="333">
        <f t="shared" si="15"/>
        <v>0</v>
      </c>
      <c r="I128" s="344">
        <f t="shared" si="16"/>
        <v>0</v>
      </c>
      <c r="J128" s="162">
        <f t="shared" si="17"/>
        <v>0</v>
      </c>
      <c r="K128" s="162"/>
      <c r="L128" s="335"/>
      <c r="M128" s="162">
        <f t="shared" si="12"/>
        <v>0</v>
      </c>
      <c r="N128" s="335"/>
      <c r="O128" s="162">
        <f t="shared" si="13"/>
        <v>0</v>
      </c>
      <c r="P128" s="162">
        <f t="shared" si="14"/>
        <v>0</v>
      </c>
    </row>
    <row r="129" spans="2:16">
      <c r="B129" s="9" t="str">
        <f t="shared" si="18"/>
        <v/>
      </c>
      <c r="C129" s="157">
        <f>IF(D93="","-",+C128+1)</f>
        <v>2045</v>
      </c>
      <c r="D129" s="158">
        <f>IF(F128+SUM(E$99:E128)=D$92,F128,D$92-SUM(E$99:E128))</f>
        <v>0</v>
      </c>
      <c r="E129" s="164">
        <f t="shared" si="19"/>
        <v>0</v>
      </c>
      <c r="F129" s="163">
        <f t="shared" si="20"/>
        <v>0</v>
      </c>
      <c r="G129" s="163">
        <f t="shared" si="21"/>
        <v>0</v>
      </c>
      <c r="H129" s="333">
        <f t="shared" si="15"/>
        <v>0</v>
      </c>
      <c r="I129" s="344">
        <f t="shared" si="16"/>
        <v>0</v>
      </c>
      <c r="J129" s="162">
        <f t="shared" si="17"/>
        <v>0</v>
      </c>
      <c r="K129" s="162"/>
      <c r="L129" s="335"/>
      <c r="M129" s="162">
        <f t="shared" si="12"/>
        <v>0</v>
      </c>
      <c r="N129" s="335"/>
      <c r="O129" s="162">
        <f t="shared" si="13"/>
        <v>0</v>
      </c>
      <c r="P129" s="162">
        <f t="shared" si="14"/>
        <v>0</v>
      </c>
    </row>
    <row r="130" spans="2:16">
      <c r="B130" s="9" t="str">
        <f t="shared" si="18"/>
        <v/>
      </c>
      <c r="C130" s="157">
        <f>IF(D93="","-",+C129+1)</f>
        <v>2046</v>
      </c>
      <c r="D130" s="158">
        <f>IF(F129+SUM(E$99:E129)=D$92,F129,D$92-SUM(E$99:E129))</f>
        <v>0</v>
      </c>
      <c r="E130" s="164">
        <f t="shared" si="19"/>
        <v>0</v>
      </c>
      <c r="F130" s="163">
        <f t="shared" si="20"/>
        <v>0</v>
      </c>
      <c r="G130" s="163">
        <f t="shared" si="21"/>
        <v>0</v>
      </c>
      <c r="H130" s="333">
        <f t="shared" si="15"/>
        <v>0</v>
      </c>
      <c r="I130" s="344">
        <f t="shared" si="16"/>
        <v>0</v>
      </c>
      <c r="J130" s="162">
        <f t="shared" si="17"/>
        <v>0</v>
      </c>
      <c r="K130" s="162"/>
      <c r="L130" s="335"/>
      <c r="M130" s="162">
        <f t="shared" si="12"/>
        <v>0</v>
      </c>
      <c r="N130" s="335"/>
      <c r="O130" s="162">
        <f t="shared" si="13"/>
        <v>0</v>
      </c>
      <c r="P130" s="162">
        <f t="shared" si="14"/>
        <v>0</v>
      </c>
    </row>
    <row r="131" spans="2:16">
      <c r="B131" s="9" t="str">
        <f t="shared" si="18"/>
        <v/>
      </c>
      <c r="C131" s="157">
        <f>IF(D93="","-",+C130+1)</f>
        <v>2047</v>
      </c>
      <c r="D131" s="158">
        <f>IF(F130+SUM(E$99:E130)=D$92,F130,D$92-SUM(E$99:E130))</f>
        <v>0</v>
      </c>
      <c r="E131" s="164">
        <f t="shared" si="19"/>
        <v>0</v>
      </c>
      <c r="F131" s="163">
        <f t="shared" si="20"/>
        <v>0</v>
      </c>
      <c r="G131" s="163">
        <f t="shared" si="21"/>
        <v>0</v>
      </c>
      <c r="H131" s="333">
        <f t="shared" si="15"/>
        <v>0</v>
      </c>
      <c r="I131" s="344">
        <f t="shared" si="16"/>
        <v>0</v>
      </c>
      <c r="J131" s="162">
        <f t="shared" ref="J131:J154" si="22">+I541-H541</f>
        <v>0</v>
      </c>
      <c r="K131" s="162"/>
      <c r="L131" s="335"/>
      <c r="M131" s="162">
        <f t="shared" ref="M131:M154" si="23">IF(L541&lt;&gt;0,+H541-L541,0)</f>
        <v>0</v>
      </c>
      <c r="N131" s="335"/>
      <c r="O131" s="162">
        <f t="shared" ref="O131:O154" si="24">IF(N541&lt;&gt;0,+I541-N541,0)</f>
        <v>0</v>
      </c>
      <c r="P131" s="162">
        <f t="shared" ref="P131:P154" si="25">+O541-M541</f>
        <v>0</v>
      </c>
    </row>
    <row r="132" spans="2:16">
      <c r="B132" s="9" t="str">
        <f t="shared" si="18"/>
        <v/>
      </c>
      <c r="C132" s="157">
        <f>IF(D93="","-",+C131+1)</f>
        <v>2048</v>
      </c>
      <c r="D132" s="158">
        <f>IF(F131+SUM(E$99:E131)=D$92,F131,D$92-SUM(E$99:E131))</f>
        <v>0</v>
      </c>
      <c r="E132" s="164">
        <f t="shared" si="19"/>
        <v>0</v>
      </c>
      <c r="F132" s="163">
        <f t="shared" si="20"/>
        <v>0</v>
      </c>
      <c r="G132" s="163">
        <f t="shared" si="21"/>
        <v>0</v>
      </c>
      <c r="H132" s="333">
        <f t="shared" si="15"/>
        <v>0</v>
      </c>
      <c r="I132" s="344">
        <f t="shared" si="16"/>
        <v>0</v>
      </c>
      <c r="J132" s="162">
        <f t="shared" si="22"/>
        <v>0</v>
      </c>
      <c r="K132" s="162"/>
      <c r="L132" s="335"/>
      <c r="M132" s="162">
        <f t="shared" si="23"/>
        <v>0</v>
      </c>
      <c r="N132" s="335"/>
      <c r="O132" s="162">
        <f t="shared" si="24"/>
        <v>0</v>
      </c>
      <c r="P132" s="162">
        <f t="shared" si="25"/>
        <v>0</v>
      </c>
    </row>
    <row r="133" spans="2:16">
      <c r="B133" s="9" t="str">
        <f t="shared" si="18"/>
        <v/>
      </c>
      <c r="C133" s="157">
        <f>IF(D93="","-",+C132+1)</f>
        <v>2049</v>
      </c>
      <c r="D133" s="158">
        <f>IF(F132+SUM(E$99:E132)=D$92,F132,D$92-SUM(E$99:E132))</f>
        <v>0</v>
      </c>
      <c r="E133" s="164">
        <f t="shared" si="19"/>
        <v>0</v>
      </c>
      <c r="F133" s="163">
        <f t="shared" si="20"/>
        <v>0</v>
      </c>
      <c r="G133" s="163">
        <f t="shared" si="21"/>
        <v>0</v>
      </c>
      <c r="H133" s="333">
        <f t="shared" si="15"/>
        <v>0</v>
      </c>
      <c r="I133" s="344">
        <f t="shared" si="16"/>
        <v>0</v>
      </c>
      <c r="J133" s="162">
        <f t="shared" si="22"/>
        <v>0</v>
      </c>
      <c r="K133" s="162"/>
      <c r="L133" s="335"/>
      <c r="M133" s="162">
        <f t="shared" si="23"/>
        <v>0</v>
      </c>
      <c r="N133" s="335"/>
      <c r="O133" s="162">
        <f t="shared" si="24"/>
        <v>0</v>
      </c>
      <c r="P133" s="162">
        <f t="shared" si="25"/>
        <v>0</v>
      </c>
    </row>
    <row r="134" spans="2:16">
      <c r="B134" s="9" t="str">
        <f t="shared" si="18"/>
        <v/>
      </c>
      <c r="C134" s="157">
        <f>IF(D93="","-",+C133+1)</f>
        <v>2050</v>
      </c>
      <c r="D134" s="158">
        <f>IF(F133+SUM(E$99:E133)=D$92,F133,D$92-SUM(E$99:E133))</f>
        <v>0</v>
      </c>
      <c r="E134" s="164">
        <f t="shared" si="19"/>
        <v>0</v>
      </c>
      <c r="F134" s="163">
        <f t="shared" si="20"/>
        <v>0</v>
      </c>
      <c r="G134" s="163">
        <f t="shared" si="21"/>
        <v>0</v>
      </c>
      <c r="H134" s="333">
        <f t="shared" si="15"/>
        <v>0</v>
      </c>
      <c r="I134" s="344">
        <f t="shared" si="16"/>
        <v>0</v>
      </c>
      <c r="J134" s="162">
        <f t="shared" si="22"/>
        <v>0</v>
      </c>
      <c r="K134" s="162"/>
      <c r="L134" s="335"/>
      <c r="M134" s="162">
        <f t="shared" si="23"/>
        <v>0</v>
      </c>
      <c r="N134" s="335"/>
      <c r="O134" s="162">
        <f t="shared" si="24"/>
        <v>0</v>
      </c>
      <c r="P134" s="162">
        <f t="shared" si="25"/>
        <v>0</v>
      </c>
    </row>
    <row r="135" spans="2:16">
      <c r="B135" s="9" t="str">
        <f t="shared" si="18"/>
        <v/>
      </c>
      <c r="C135" s="157">
        <f>IF(D93="","-",+C134+1)</f>
        <v>2051</v>
      </c>
      <c r="D135" s="158">
        <f>IF(F134+SUM(E$99:E134)=D$92,F134,D$92-SUM(E$99:E134))</f>
        <v>0</v>
      </c>
      <c r="E135" s="164">
        <f t="shared" si="19"/>
        <v>0</v>
      </c>
      <c r="F135" s="163">
        <f t="shared" si="20"/>
        <v>0</v>
      </c>
      <c r="G135" s="163">
        <f t="shared" si="21"/>
        <v>0</v>
      </c>
      <c r="H135" s="333">
        <f t="shared" si="15"/>
        <v>0</v>
      </c>
      <c r="I135" s="344">
        <f t="shared" si="16"/>
        <v>0</v>
      </c>
      <c r="J135" s="162">
        <f t="shared" si="22"/>
        <v>0</v>
      </c>
      <c r="K135" s="162"/>
      <c r="L135" s="335"/>
      <c r="M135" s="162">
        <f t="shared" si="23"/>
        <v>0</v>
      </c>
      <c r="N135" s="335"/>
      <c r="O135" s="162">
        <f t="shared" si="24"/>
        <v>0</v>
      </c>
      <c r="P135" s="162">
        <f t="shared" si="25"/>
        <v>0</v>
      </c>
    </row>
    <row r="136" spans="2:16">
      <c r="B136" s="9" t="str">
        <f t="shared" si="18"/>
        <v/>
      </c>
      <c r="C136" s="157">
        <f>IF(D93="","-",+C135+1)</f>
        <v>2052</v>
      </c>
      <c r="D136" s="158">
        <f>IF(F135+SUM(E$99:E135)=D$92,F135,D$92-SUM(E$99:E135))</f>
        <v>0</v>
      </c>
      <c r="E136" s="164">
        <f t="shared" si="19"/>
        <v>0</v>
      </c>
      <c r="F136" s="163">
        <f t="shared" si="20"/>
        <v>0</v>
      </c>
      <c r="G136" s="163">
        <f t="shared" si="21"/>
        <v>0</v>
      </c>
      <c r="H136" s="333">
        <f t="shared" si="15"/>
        <v>0</v>
      </c>
      <c r="I136" s="344">
        <f t="shared" si="16"/>
        <v>0</v>
      </c>
      <c r="J136" s="162">
        <f t="shared" si="22"/>
        <v>0</v>
      </c>
      <c r="K136" s="162"/>
      <c r="L136" s="335"/>
      <c r="M136" s="162">
        <f t="shared" si="23"/>
        <v>0</v>
      </c>
      <c r="N136" s="335"/>
      <c r="O136" s="162">
        <f t="shared" si="24"/>
        <v>0</v>
      </c>
      <c r="P136" s="162">
        <f t="shared" si="25"/>
        <v>0</v>
      </c>
    </row>
    <row r="137" spans="2:16">
      <c r="B137" s="9" t="str">
        <f t="shared" si="18"/>
        <v/>
      </c>
      <c r="C137" s="157">
        <f>IF(D93="","-",+C136+1)</f>
        <v>2053</v>
      </c>
      <c r="D137" s="158">
        <f>IF(F136+SUM(E$99:E136)=D$92,F136,D$92-SUM(E$99:E136))</f>
        <v>0</v>
      </c>
      <c r="E137" s="164">
        <f t="shared" si="19"/>
        <v>0</v>
      </c>
      <c r="F137" s="163">
        <f t="shared" si="20"/>
        <v>0</v>
      </c>
      <c r="G137" s="163">
        <f t="shared" si="21"/>
        <v>0</v>
      </c>
      <c r="H137" s="333">
        <f t="shared" si="15"/>
        <v>0</v>
      </c>
      <c r="I137" s="344">
        <f t="shared" si="16"/>
        <v>0</v>
      </c>
      <c r="J137" s="162">
        <f t="shared" si="22"/>
        <v>0</v>
      </c>
      <c r="K137" s="162"/>
      <c r="L137" s="335"/>
      <c r="M137" s="162">
        <f t="shared" si="23"/>
        <v>0</v>
      </c>
      <c r="N137" s="335"/>
      <c r="O137" s="162">
        <f t="shared" si="24"/>
        <v>0</v>
      </c>
      <c r="P137" s="162">
        <f t="shared" si="25"/>
        <v>0</v>
      </c>
    </row>
    <row r="138" spans="2:16">
      <c r="B138" s="9" t="str">
        <f t="shared" si="18"/>
        <v/>
      </c>
      <c r="C138" s="157">
        <f>IF(D93="","-",+C137+1)</f>
        <v>2054</v>
      </c>
      <c r="D138" s="158">
        <f>IF(F137+SUM(E$99:E137)=D$92,F137,D$92-SUM(E$99:E137))</f>
        <v>0</v>
      </c>
      <c r="E138" s="164">
        <f t="shared" si="19"/>
        <v>0</v>
      </c>
      <c r="F138" s="163">
        <f t="shared" si="20"/>
        <v>0</v>
      </c>
      <c r="G138" s="163">
        <f t="shared" si="21"/>
        <v>0</v>
      </c>
      <c r="H138" s="333">
        <f t="shared" si="15"/>
        <v>0</v>
      </c>
      <c r="I138" s="344">
        <f t="shared" si="16"/>
        <v>0</v>
      </c>
      <c r="J138" s="162">
        <f t="shared" si="22"/>
        <v>0</v>
      </c>
      <c r="K138" s="162"/>
      <c r="L138" s="335"/>
      <c r="M138" s="162">
        <f t="shared" si="23"/>
        <v>0</v>
      </c>
      <c r="N138" s="335"/>
      <c r="O138" s="162">
        <f t="shared" si="24"/>
        <v>0</v>
      </c>
      <c r="P138" s="162">
        <f t="shared" si="25"/>
        <v>0</v>
      </c>
    </row>
    <row r="139" spans="2:16">
      <c r="B139" s="9" t="str">
        <f t="shared" si="18"/>
        <v/>
      </c>
      <c r="C139" s="157">
        <f>IF(D93="","-",+C138+1)</f>
        <v>2055</v>
      </c>
      <c r="D139" s="158">
        <f>IF(F138+SUM(E$99:E138)=D$92,F138,D$92-SUM(E$99:E138))</f>
        <v>0</v>
      </c>
      <c r="E139" s="164">
        <f t="shared" si="19"/>
        <v>0</v>
      </c>
      <c r="F139" s="163">
        <f t="shared" si="20"/>
        <v>0</v>
      </c>
      <c r="G139" s="163">
        <f t="shared" si="21"/>
        <v>0</v>
      </c>
      <c r="H139" s="333">
        <f t="shared" si="15"/>
        <v>0</v>
      </c>
      <c r="I139" s="344">
        <f t="shared" si="16"/>
        <v>0</v>
      </c>
      <c r="J139" s="162">
        <f t="shared" si="22"/>
        <v>0</v>
      </c>
      <c r="K139" s="162"/>
      <c r="L139" s="335"/>
      <c r="M139" s="162">
        <f t="shared" si="23"/>
        <v>0</v>
      </c>
      <c r="N139" s="335"/>
      <c r="O139" s="162">
        <f t="shared" si="24"/>
        <v>0</v>
      </c>
      <c r="P139" s="162">
        <f t="shared" si="25"/>
        <v>0</v>
      </c>
    </row>
    <row r="140" spans="2:16">
      <c r="B140" s="9" t="str">
        <f t="shared" si="18"/>
        <v/>
      </c>
      <c r="C140" s="157">
        <f>IF(D93="","-",+C139+1)</f>
        <v>2056</v>
      </c>
      <c r="D140" s="158">
        <f>IF(F139+SUM(E$99:E139)=D$92,F139,D$92-SUM(E$99:E139))</f>
        <v>0</v>
      </c>
      <c r="E140" s="164">
        <f t="shared" si="19"/>
        <v>0</v>
      </c>
      <c r="F140" s="163">
        <f t="shared" si="20"/>
        <v>0</v>
      </c>
      <c r="G140" s="163">
        <f t="shared" si="21"/>
        <v>0</v>
      </c>
      <c r="H140" s="333">
        <f t="shared" si="15"/>
        <v>0</v>
      </c>
      <c r="I140" s="344">
        <f t="shared" si="16"/>
        <v>0</v>
      </c>
      <c r="J140" s="162">
        <f t="shared" si="22"/>
        <v>0</v>
      </c>
      <c r="K140" s="162"/>
      <c r="L140" s="335"/>
      <c r="M140" s="162">
        <f t="shared" si="23"/>
        <v>0</v>
      </c>
      <c r="N140" s="335"/>
      <c r="O140" s="162">
        <f t="shared" si="24"/>
        <v>0</v>
      </c>
      <c r="P140" s="162">
        <f t="shared" si="25"/>
        <v>0</v>
      </c>
    </row>
    <row r="141" spans="2:16">
      <c r="B141" s="9" t="str">
        <f t="shared" si="18"/>
        <v/>
      </c>
      <c r="C141" s="157">
        <f>IF(D93="","-",+C140+1)</f>
        <v>2057</v>
      </c>
      <c r="D141" s="158">
        <f>IF(F140+SUM(E$99:E140)=D$92,F140,D$92-SUM(E$99:E140))</f>
        <v>0</v>
      </c>
      <c r="E141" s="164">
        <f t="shared" si="19"/>
        <v>0</v>
      </c>
      <c r="F141" s="163">
        <f t="shared" si="20"/>
        <v>0</v>
      </c>
      <c r="G141" s="163">
        <f t="shared" si="21"/>
        <v>0</v>
      </c>
      <c r="H141" s="333">
        <f t="shared" si="15"/>
        <v>0</v>
      </c>
      <c r="I141" s="344">
        <f t="shared" si="16"/>
        <v>0</v>
      </c>
      <c r="J141" s="162">
        <f t="shared" si="22"/>
        <v>0</v>
      </c>
      <c r="K141" s="162"/>
      <c r="L141" s="335"/>
      <c r="M141" s="162">
        <f t="shared" si="23"/>
        <v>0</v>
      </c>
      <c r="N141" s="335"/>
      <c r="O141" s="162">
        <f t="shared" si="24"/>
        <v>0</v>
      </c>
      <c r="P141" s="162">
        <f t="shared" si="25"/>
        <v>0</v>
      </c>
    </row>
    <row r="142" spans="2:16">
      <c r="B142" s="9" t="str">
        <f t="shared" si="18"/>
        <v/>
      </c>
      <c r="C142" s="157">
        <f>IF(D93="","-",+C141+1)</f>
        <v>2058</v>
      </c>
      <c r="D142" s="158">
        <f>IF(F141+SUM(E$99:E141)=D$92,F141,D$92-SUM(E$99:E141))</f>
        <v>0</v>
      </c>
      <c r="E142" s="164">
        <f t="shared" si="19"/>
        <v>0</v>
      </c>
      <c r="F142" s="163">
        <f t="shared" si="20"/>
        <v>0</v>
      </c>
      <c r="G142" s="163">
        <f t="shared" si="21"/>
        <v>0</v>
      </c>
      <c r="H142" s="333">
        <f t="shared" si="15"/>
        <v>0</v>
      </c>
      <c r="I142" s="344">
        <f t="shared" si="16"/>
        <v>0</v>
      </c>
      <c r="J142" s="162">
        <f t="shared" si="22"/>
        <v>0</v>
      </c>
      <c r="K142" s="162"/>
      <c r="L142" s="335"/>
      <c r="M142" s="162">
        <f t="shared" si="23"/>
        <v>0</v>
      </c>
      <c r="N142" s="335"/>
      <c r="O142" s="162">
        <f t="shared" si="24"/>
        <v>0</v>
      </c>
      <c r="P142" s="162">
        <f t="shared" si="25"/>
        <v>0</v>
      </c>
    </row>
    <row r="143" spans="2:16">
      <c r="B143" s="9" t="str">
        <f t="shared" si="18"/>
        <v/>
      </c>
      <c r="C143" s="157">
        <f>IF(D93="","-",+C142+1)</f>
        <v>2059</v>
      </c>
      <c r="D143" s="158">
        <f>IF(F142+SUM(E$99:E142)=D$92,F142,D$92-SUM(E$99:E142))</f>
        <v>0</v>
      </c>
      <c r="E143" s="164">
        <f t="shared" si="19"/>
        <v>0</v>
      </c>
      <c r="F143" s="163">
        <f t="shared" si="20"/>
        <v>0</v>
      </c>
      <c r="G143" s="163">
        <f t="shared" si="21"/>
        <v>0</v>
      </c>
      <c r="H143" s="333">
        <f t="shared" si="15"/>
        <v>0</v>
      </c>
      <c r="I143" s="344">
        <f t="shared" si="16"/>
        <v>0</v>
      </c>
      <c r="J143" s="162">
        <f t="shared" si="22"/>
        <v>0</v>
      </c>
      <c r="K143" s="162"/>
      <c r="L143" s="335"/>
      <c r="M143" s="162">
        <f t="shared" si="23"/>
        <v>0</v>
      </c>
      <c r="N143" s="335"/>
      <c r="O143" s="162">
        <f t="shared" si="24"/>
        <v>0</v>
      </c>
      <c r="P143" s="162">
        <f t="shared" si="25"/>
        <v>0</v>
      </c>
    </row>
    <row r="144" spans="2:16">
      <c r="B144" s="9" t="str">
        <f t="shared" si="18"/>
        <v/>
      </c>
      <c r="C144" s="157">
        <f>IF(D93="","-",+C143+1)</f>
        <v>2060</v>
      </c>
      <c r="D144" s="158">
        <f>IF(F143+SUM(E$99:E143)=D$92,F143,D$92-SUM(E$99:E143))</f>
        <v>0</v>
      </c>
      <c r="E144" s="164">
        <f t="shared" si="19"/>
        <v>0</v>
      </c>
      <c r="F144" s="163">
        <f t="shared" si="20"/>
        <v>0</v>
      </c>
      <c r="G144" s="163">
        <f t="shared" si="21"/>
        <v>0</v>
      </c>
      <c r="H144" s="333">
        <f t="shared" si="15"/>
        <v>0</v>
      </c>
      <c r="I144" s="344">
        <f t="shared" si="16"/>
        <v>0</v>
      </c>
      <c r="J144" s="162">
        <f t="shared" si="22"/>
        <v>0</v>
      </c>
      <c r="K144" s="162"/>
      <c r="L144" s="335"/>
      <c r="M144" s="162">
        <f t="shared" si="23"/>
        <v>0</v>
      </c>
      <c r="N144" s="335"/>
      <c r="O144" s="162">
        <f t="shared" si="24"/>
        <v>0</v>
      </c>
      <c r="P144" s="162">
        <f t="shared" si="25"/>
        <v>0</v>
      </c>
    </row>
    <row r="145" spans="2:16">
      <c r="B145" s="9" t="str">
        <f t="shared" si="18"/>
        <v/>
      </c>
      <c r="C145" s="157">
        <f>IF(D93="","-",+C144+1)</f>
        <v>2061</v>
      </c>
      <c r="D145" s="158">
        <f>IF(F144+SUM(E$99:E144)=D$92,F144,D$92-SUM(E$99:E144))</f>
        <v>0</v>
      </c>
      <c r="E145" s="164">
        <f t="shared" si="19"/>
        <v>0</v>
      </c>
      <c r="F145" s="163">
        <f t="shared" si="20"/>
        <v>0</v>
      </c>
      <c r="G145" s="163">
        <f t="shared" si="21"/>
        <v>0</v>
      </c>
      <c r="H145" s="333">
        <f t="shared" si="15"/>
        <v>0</v>
      </c>
      <c r="I145" s="344">
        <f t="shared" si="16"/>
        <v>0</v>
      </c>
      <c r="J145" s="162">
        <f t="shared" si="22"/>
        <v>0</v>
      </c>
      <c r="K145" s="162"/>
      <c r="L145" s="335"/>
      <c r="M145" s="162">
        <f t="shared" si="23"/>
        <v>0</v>
      </c>
      <c r="N145" s="335"/>
      <c r="O145" s="162">
        <f t="shared" si="24"/>
        <v>0</v>
      </c>
      <c r="P145" s="162">
        <f t="shared" si="25"/>
        <v>0</v>
      </c>
    </row>
    <row r="146" spans="2:16">
      <c r="B146" s="9" t="str">
        <f t="shared" si="18"/>
        <v/>
      </c>
      <c r="C146" s="157">
        <f>IF(D93="","-",+C145+1)</f>
        <v>2062</v>
      </c>
      <c r="D146" s="158">
        <f>IF(F145+SUM(E$99:E145)=D$92,F145,D$92-SUM(E$99:E145))</f>
        <v>0</v>
      </c>
      <c r="E146" s="164">
        <f t="shared" si="19"/>
        <v>0</v>
      </c>
      <c r="F146" s="163">
        <f t="shared" si="20"/>
        <v>0</v>
      </c>
      <c r="G146" s="163">
        <f t="shared" si="21"/>
        <v>0</v>
      </c>
      <c r="H146" s="333">
        <f t="shared" si="15"/>
        <v>0</v>
      </c>
      <c r="I146" s="344">
        <f t="shared" si="16"/>
        <v>0</v>
      </c>
      <c r="J146" s="162">
        <f t="shared" si="22"/>
        <v>0</v>
      </c>
      <c r="K146" s="162"/>
      <c r="L146" s="335"/>
      <c r="M146" s="162">
        <f t="shared" si="23"/>
        <v>0</v>
      </c>
      <c r="N146" s="335"/>
      <c r="O146" s="162">
        <f t="shared" si="24"/>
        <v>0</v>
      </c>
      <c r="P146" s="162">
        <f t="shared" si="25"/>
        <v>0</v>
      </c>
    </row>
    <row r="147" spans="2:16">
      <c r="B147" s="9" t="str">
        <f t="shared" si="18"/>
        <v/>
      </c>
      <c r="C147" s="157">
        <f>IF(D93="","-",+C146+1)</f>
        <v>2063</v>
      </c>
      <c r="D147" s="158">
        <f>IF(F146+SUM(E$99:E146)=D$92,F146,D$92-SUM(E$99:E146))</f>
        <v>0</v>
      </c>
      <c r="E147" s="164">
        <f t="shared" si="19"/>
        <v>0</v>
      </c>
      <c r="F147" s="163">
        <f t="shared" si="20"/>
        <v>0</v>
      </c>
      <c r="G147" s="163">
        <f t="shared" si="21"/>
        <v>0</v>
      </c>
      <c r="H147" s="333">
        <f t="shared" si="15"/>
        <v>0</v>
      </c>
      <c r="I147" s="344">
        <f t="shared" si="16"/>
        <v>0</v>
      </c>
      <c r="J147" s="162">
        <f t="shared" si="22"/>
        <v>0</v>
      </c>
      <c r="K147" s="162"/>
      <c r="L147" s="335"/>
      <c r="M147" s="162">
        <f t="shared" si="23"/>
        <v>0</v>
      </c>
      <c r="N147" s="335"/>
      <c r="O147" s="162">
        <f t="shared" si="24"/>
        <v>0</v>
      </c>
      <c r="P147" s="162">
        <f t="shared" si="25"/>
        <v>0</v>
      </c>
    </row>
    <row r="148" spans="2:16">
      <c r="B148" s="9" t="str">
        <f t="shared" si="18"/>
        <v/>
      </c>
      <c r="C148" s="157">
        <f>IF(D93="","-",+C147+1)</f>
        <v>2064</v>
      </c>
      <c r="D148" s="158">
        <f>IF(F147+SUM(E$99:E147)=D$92,F147,D$92-SUM(E$99:E147))</f>
        <v>0</v>
      </c>
      <c r="E148" s="164">
        <f t="shared" si="19"/>
        <v>0</v>
      </c>
      <c r="F148" s="163">
        <f t="shared" si="20"/>
        <v>0</v>
      </c>
      <c r="G148" s="163">
        <f t="shared" si="21"/>
        <v>0</v>
      </c>
      <c r="H148" s="333">
        <f t="shared" si="15"/>
        <v>0</v>
      </c>
      <c r="I148" s="344">
        <f t="shared" si="16"/>
        <v>0</v>
      </c>
      <c r="J148" s="162">
        <f t="shared" si="22"/>
        <v>0</v>
      </c>
      <c r="K148" s="162"/>
      <c r="L148" s="335"/>
      <c r="M148" s="162">
        <f t="shared" si="23"/>
        <v>0</v>
      </c>
      <c r="N148" s="335"/>
      <c r="O148" s="162">
        <f t="shared" si="24"/>
        <v>0</v>
      </c>
      <c r="P148" s="162">
        <f t="shared" si="25"/>
        <v>0</v>
      </c>
    </row>
    <row r="149" spans="2:16">
      <c r="B149" s="9" t="str">
        <f t="shared" si="18"/>
        <v/>
      </c>
      <c r="C149" s="157">
        <f>IF(D93="","-",+C148+1)</f>
        <v>2065</v>
      </c>
      <c r="D149" s="158">
        <f>IF(F148+SUM(E$99:E148)=D$92,F148,D$92-SUM(E$99:E148))</f>
        <v>0</v>
      </c>
      <c r="E149" s="164">
        <f t="shared" si="19"/>
        <v>0</v>
      </c>
      <c r="F149" s="163">
        <f t="shared" si="20"/>
        <v>0</v>
      </c>
      <c r="G149" s="163">
        <f t="shared" si="21"/>
        <v>0</v>
      </c>
      <c r="H149" s="333">
        <f t="shared" si="15"/>
        <v>0</v>
      </c>
      <c r="I149" s="344">
        <f t="shared" si="16"/>
        <v>0</v>
      </c>
      <c r="J149" s="162">
        <f t="shared" si="22"/>
        <v>0</v>
      </c>
      <c r="K149" s="162"/>
      <c r="L149" s="335"/>
      <c r="M149" s="162">
        <f t="shared" si="23"/>
        <v>0</v>
      </c>
      <c r="N149" s="335"/>
      <c r="O149" s="162">
        <f t="shared" si="24"/>
        <v>0</v>
      </c>
      <c r="P149" s="162">
        <f t="shared" si="25"/>
        <v>0</v>
      </c>
    </row>
    <row r="150" spans="2:16">
      <c r="B150" s="9" t="str">
        <f t="shared" si="18"/>
        <v/>
      </c>
      <c r="C150" s="157">
        <f>IF(D93="","-",+C149+1)</f>
        <v>2066</v>
      </c>
      <c r="D150" s="158">
        <f>IF(F149+SUM(E$99:E149)=D$92,F149,D$92-SUM(E$99:E149))</f>
        <v>0</v>
      </c>
      <c r="E150" s="164">
        <f t="shared" si="19"/>
        <v>0</v>
      </c>
      <c r="F150" s="163">
        <f t="shared" si="20"/>
        <v>0</v>
      </c>
      <c r="G150" s="163">
        <f t="shared" si="21"/>
        <v>0</v>
      </c>
      <c r="H150" s="333">
        <f t="shared" si="15"/>
        <v>0</v>
      </c>
      <c r="I150" s="344">
        <f t="shared" si="16"/>
        <v>0</v>
      </c>
      <c r="J150" s="162">
        <f t="shared" si="22"/>
        <v>0</v>
      </c>
      <c r="K150" s="162"/>
      <c r="L150" s="335"/>
      <c r="M150" s="162">
        <f t="shared" si="23"/>
        <v>0</v>
      </c>
      <c r="N150" s="335"/>
      <c r="O150" s="162">
        <f t="shared" si="24"/>
        <v>0</v>
      </c>
      <c r="P150" s="162">
        <f t="shared" si="25"/>
        <v>0</v>
      </c>
    </row>
    <row r="151" spans="2:16">
      <c r="B151" s="9" t="str">
        <f t="shared" si="18"/>
        <v/>
      </c>
      <c r="C151" s="157">
        <f>IF(D93="","-",+C150+1)</f>
        <v>2067</v>
      </c>
      <c r="D151" s="158">
        <f>IF(F150+SUM(E$99:E150)=D$92,F150,D$92-SUM(E$99:E150))</f>
        <v>0</v>
      </c>
      <c r="E151" s="164">
        <f t="shared" si="19"/>
        <v>0</v>
      </c>
      <c r="F151" s="163">
        <f t="shared" si="20"/>
        <v>0</v>
      </c>
      <c r="G151" s="163">
        <f t="shared" si="21"/>
        <v>0</v>
      </c>
      <c r="H151" s="333">
        <f t="shared" si="15"/>
        <v>0</v>
      </c>
      <c r="I151" s="344">
        <f t="shared" si="16"/>
        <v>0</v>
      </c>
      <c r="J151" s="162">
        <f t="shared" si="22"/>
        <v>0</v>
      </c>
      <c r="K151" s="162"/>
      <c r="L151" s="335"/>
      <c r="M151" s="162">
        <f t="shared" si="23"/>
        <v>0</v>
      </c>
      <c r="N151" s="335"/>
      <c r="O151" s="162">
        <f t="shared" si="24"/>
        <v>0</v>
      </c>
      <c r="P151" s="162">
        <f t="shared" si="25"/>
        <v>0</v>
      </c>
    </row>
    <row r="152" spans="2:16">
      <c r="B152" s="9" t="str">
        <f t="shared" si="18"/>
        <v/>
      </c>
      <c r="C152" s="157">
        <f>IF(D93="","-",+C151+1)</f>
        <v>2068</v>
      </c>
      <c r="D152" s="158">
        <f>IF(F151+SUM(E$99:E151)=D$92,F151,D$92-SUM(E$99:E151))</f>
        <v>0</v>
      </c>
      <c r="E152" s="164">
        <f t="shared" si="19"/>
        <v>0</v>
      </c>
      <c r="F152" s="163">
        <f t="shared" si="20"/>
        <v>0</v>
      </c>
      <c r="G152" s="163">
        <f t="shared" si="21"/>
        <v>0</v>
      </c>
      <c r="H152" s="333">
        <f t="shared" si="15"/>
        <v>0</v>
      </c>
      <c r="I152" s="344">
        <f t="shared" si="16"/>
        <v>0</v>
      </c>
      <c r="J152" s="162">
        <f t="shared" si="22"/>
        <v>0</v>
      </c>
      <c r="K152" s="162"/>
      <c r="L152" s="335"/>
      <c r="M152" s="162">
        <f t="shared" si="23"/>
        <v>0</v>
      </c>
      <c r="N152" s="335"/>
      <c r="O152" s="162">
        <f t="shared" si="24"/>
        <v>0</v>
      </c>
      <c r="P152" s="162">
        <f t="shared" si="25"/>
        <v>0</v>
      </c>
    </row>
    <row r="153" spans="2:16">
      <c r="B153" s="9" t="str">
        <f t="shared" si="18"/>
        <v/>
      </c>
      <c r="C153" s="157">
        <f>IF(D93="","-",+C152+1)</f>
        <v>2069</v>
      </c>
      <c r="D153" s="158">
        <f>IF(F152+SUM(E$99:E152)=D$92,F152,D$92-SUM(E$99:E152))</f>
        <v>0</v>
      </c>
      <c r="E153" s="164">
        <f t="shared" si="19"/>
        <v>0</v>
      </c>
      <c r="F153" s="163">
        <f t="shared" si="20"/>
        <v>0</v>
      </c>
      <c r="G153" s="163">
        <f t="shared" si="21"/>
        <v>0</v>
      </c>
      <c r="H153" s="333">
        <f t="shared" si="15"/>
        <v>0</v>
      </c>
      <c r="I153" s="344">
        <f t="shared" si="16"/>
        <v>0</v>
      </c>
      <c r="J153" s="162">
        <f t="shared" si="22"/>
        <v>0</v>
      </c>
      <c r="K153" s="162"/>
      <c r="L153" s="335"/>
      <c r="M153" s="162">
        <f t="shared" si="23"/>
        <v>0</v>
      </c>
      <c r="N153" s="335"/>
      <c r="O153" s="162">
        <f t="shared" si="24"/>
        <v>0</v>
      </c>
      <c r="P153" s="162">
        <f t="shared" si="25"/>
        <v>0</v>
      </c>
    </row>
    <row r="154" spans="2:16" ht="13.5" thickBot="1">
      <c r="B154" s="9" t="str">
        <f t="shared" si="18"/>
        <v/>
      </c>
      <c r="C154" s="168">
        <f>IF(D93="","-",+C153+1)</f>
        <v>2070</v>
      </c>
      <c r="D154" s="219">
        <f>IF(F153+SUM(E$99:E153)=D$92,F153,D$92-SUM(E$99:E153))</f>
        <v>0</v>
      </c>
      <c r="E154" s="170">
        <f t="shared" si="19"/>
        <v>0</v>
      </c>
      <c r="F154" s="169">
        <f t="shared" si="20"/>
        <v>0</v>
      </c>
      <c r="G154" s="169">
        <f t="shared" si="21"/>
        <v>0</v>
      </c>
      <c r="H154" s="345">
        <f t="shared" si="15"/>
        <v>0</v>
      </c>
      <c r="I154" s="346">
        <f t="shared" si="16"/>
        <v>0</v>
      </c>
      <c r="J154" s="173">
        <f t="shared" si="22"/>
        <v>0</v>
      </c>
      <c r="K154" s="162"/>
      <c r="L154" s="336"/>
      <c r="M154" s="173">
        <f t="shared" si="23"/>
        <v>0</v>
      </c>
      <c r="N154" s="336"/>
      <c r="O154" s="173">
        <f t="shared" si="24"/>
        <v>0</v>
      </c>
      <c r="P154" s="173">
        <f t="shared" si="25"/>
        <v>0</v>
      </c>
    </row>
    <row r="155" spans="2:16">
      <c r="C155" s="158" t="s">
        <v>72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1" priority="1" stopIfTrue="1" operator="equal">
      <formula>$I$10</formula>
    </cfRule>
  </conditionalFormatting>
  <conditionalFormatting sqref="C99:C154">
    <cfRule type="cellIs" dxfId="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P162"/>
  <sheetViews>
    <sheetView view="pageBreakPreview" zoomScale="80" zoomScaleNormal="100" zoomScaleSheetLayoutView="8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14062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1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 t="str">
        <f>RIGHT(N3,3)</f>
        <v/>
      </c>
      <c r="P3" s="248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105133.16356955816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105133.16356955816</v>
      </c>
      <c r="O6" s="1"/>
      <c r="P6" s="1"/>
    </row>
    <row r="7" spans="1:16" ht="13.5" thickBot="1">
      <c r="C7" s="127" t="s">
        <v>41</v>
      </c>
      <c r="D7" s="343" t="s">
        <v>201</v>
      </c>
      <c r="E7" s="95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44</v>
      </c>
      <c r="E9" s="428" t="s">
        <v>301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f>893858</f>
        <v>893858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2009</v>
      </c>
      <c r="E11" s="141" t="s">
        <v>49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IF(D10=0,0,ROUND(D10/D13,0))</f>
        <v>22346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C17" s="157">
        <f>IF(D11= "","-",D11)</f>
        <v>2009</v>
      </c>
      <c r="D17" s="366">
        <v>579098</v>
      </c>
      <c r="E17" s="367">
        <v>5463</v>
      </c>
      <c r="F17" s="366">
        <v>573635</v>
      </c>
      <c r="G17" s="367">
        <v>56729</v>
      </c>
      <c r="H17" s="367">
        <v>56729</v>
      </c>
      <c r="I17" s="160">
        <f t="shared" ref="I17:I48" si="0">H17-G17</f>
        <v>0</v>
      </c>
      <c r="J17" s="160"/>
      <c r="K17" s="338">
        <v>56729</v>
      </c>
      <c r="L17" s="161">
        <f t="shared" ref="L17:L48" si="1">IF(K17&lt;&gt;0,+G17-K17,0)</f>
        <v>0</v>
      </c>
      <c r="M17" s="338">
        <v>56729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2010</v>
      </c>
      <c r="D18" s="371">
        <v>888395</v>
      </c>
      <c r="E18" s="368">
        <v>15962</v>
      </c>
      <c r="F18" s="371">
        <v>872433</v>
      </c>
      <c r="G18" s="368">
        <v>141851</v>
      </c>
      <c r="H18" s="370">
        <v>141851</v>
      </c>
      <c r="I18" s="160">
        <f t="shared" si="0"/>
        <v>0</v>
      </c>
      <c r="J18" s="160"/>
      <c r="K18" s="338">
        <f t="shared" ref="K18:K23" si="4">G18</f>
        <v>141851</v>
      </c>
      <c r="L18" s="162">
        <f t="shared" si="1"/>
        <v>0</v>
      </c>
      <c r="M18" s="338">
        <f t="shared" ref="M18:M23" si="5">H18</f>
        <v>141851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2011</v>
      </c>
      <c r="D19" s="371">
        <v>872433</v>
      </c>
      <c r="E19" s="368">
        <v>17527</v>
      </c>
      <c r="F19" s="371">
        <v>854906</v>
      </c>
      <c r="G19" s="368">
        <v>151356.84230707804</v>
      </c>
      <c r="H19" s="370">
        <v>151356.84230707804</v>
      </c>
      <c r="I19" s="160">
        <f t="shared" si="0"/>
        <v>0</v>
      </c>
      <c r="J19" s="160"/>
      <c r="K19" s="338">
        <f t="shared" si="4"/>
        <v>151356.84230707804</v>
      </c>
      <c r="L19" s="162">
        <f t="shared" si="1"/>
        <v>0</v>
      </c>
      <c r="M19" s="338">
        <f t="shared" si="5"/>
        <v>151356.84230707804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405">
        <f>IF(D11="","-",+C19+1)</f>
        <v>2012</v>
      </c>
      <c r="D20" s="371">
        <v>854906</v>
      </c>
      <c r="E20" s="368">
        <v>17190</v>
      </c>
      <c r="F20" s="371">
        <v>837716</v>
      </c>
      <c r="G20" s="368">
        <v>133805.70830730975</v>
      </c>
      <c r="H20" s="370">
        <v>133805.70830730975</v>
      </c>
      <c r="I20" s="160">
        <f t="shared" si="0"/>
        <v>0</v>
      </c>
      <c r="J20" s="160"/>
      <c r="K20" s="338">
        <f t="shared" si="4"/>
        <v>133805.70830730975</v>
      </c>
      <c r="L20" s="162">
        <f t="shared" si="1"/>
        <v>0</v>
      </c>
      <c r="M20" s="338">
        <f t="shared" si="5"/>
        <v>133805.70830730975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405">
        <f>IF(D12="","-",+C20+1)</f>
        <v>2013</v>
      </c>
      <c r="D21" s="371">
        <v>837716</v>
      </c>
      <c r="E21" s="368">
        <v>17190</v>
      </c>
      <c r="F21" s="371">
        <v>820526</v>
      </c>
      <c r="G21" s="368">
        <v>134366.65985215519</v>
      </c>
      <c r="H21" s="370">
        <v>134366.65985215519</v>
      </c>
      <c r="I21" s="160">
        <v>0</v>
      </c>
      <c r="J21" s="160"/>
      <c r="K21" s="338">
        <f t="shared" si="4"/>
        <v>134366.65985215519</v>
      </c>
      <c r="L21" s="162">
        <f t="shared" ref="L21:L26" si="7">IF(K21&lt;&gt;0,+G21-K21,0)</f>
        <v>0</v>
      </c>
      <c r="M21" s="338">
        <f t="shared" si="5"/>
        <v>134366.65985215519</v>
      </c>
      <c r="N21" s="162">
        <f t="shared" ref="N21:N26" si="8">IF(M21&lt;&gt;0,+H21-M21,0)</f>
        <v>0</v>
      </c>
      <c r="O21" s="162">
        <f t="shared" ref="O21:O26" si="9">+N21-L21</f>
        <v>0</v>
      </c>
      <c r="P21" s="4"/>
    </row>
    <row r="22" spans="2:16">
      <c r="B22" s="9" t="str">
        <f t="shared" si="6"/>
        <v/>
      </c>
      <c r="C22" s="157">
        <f>IF(D11="","-",+C21+1)</f>
        <v>2014</v>
      </c>
      <c r="D22" s="371">
        <v>820526</v>
      </c>
      <c r="E22" s="368">
        <v>17190</v>
      </c>
      <c r="F22" s="371">
        <v>803336</v>
      </c>
      <c r="G22" s="368">
        <v>127776.24380165605</v>
      </c>
      <c r="H22" s="370">
        <v>127776.24380165605</v>
      </c>
      <c r="I22" s="160">
        <v>0</v>
      </c>
      <c r="J22" s="160"/>
      <c r="K22" s="338">
        <f t="shared" si="4"/>
        <v>127776.24380165605</v>
      </c>
      <c r="L22" s="162">
        <f t="shared" si="7"/>
        <v>0</v>
      </c>
      <c r="M22" s="338">
        <f t="shared" si="5"/>
        <v>127776.24380165605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2015</v>
      </c>
      <c r="D23" s="371">
        <v>803336</v>
      </c>
      <c r="E23" s="368">
        <v>17190</v>
      </c>
      <c r="F23" s="371">
        <v>786146</v>
      </c>
      <c r="G23" s="368">
        <v>125577.25148028173</v>
      </c>
      <c r="H23" s="370">
        <v>125577.25148028173</v>
      </c>
      <c r="I23" s="160">
        <v>0</v>
      </c>
      <c r="J23" s="160"/>
      <c r="K23" s="338">
        <f t="shared" si="4"/>
        <v>125577.25148028173</v>
      </c>
      <c r="L23" s="162">
        <f t="shared" si="7"/>
        <v>0</v>
      </c>
      <c r="M23" s="338">
        <f t="shared" si="5"/>
        <v>125577.25148028173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2016</v>
      </c>
      <c r="D24" s="371">
        <v>786146</v>
      </c>
      <c r="E24" s="368">
        <v>17190</v>
      </c>
      <c r="F24" s="371">
        <v>768956</v>
      </c>
      <c r="G24" s="368">
        <v>118045.98754263212</v>
      </c>
      <c r="H24" s="370">
        <v>118045.98754263212</v>
      </c>
      <c r="I24" s="160">
        <f t="shared" si="0"/>
        <v>0</v>
      </c>
      <c r="J24" s="160"/>
      <c r="K24" s="338">
        <f>G24</f>
        <v>118045.98754263212</v>
      </c>
      <c r="L24" s="162">
        <f t="shared" si="7"/>
        <v>0</v>
      </c>
      <c r="M24" s="338">
        <f>H24</f>
        <v>118045.98754263212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2017</v>
      </c>
      <c r="D25" s="371">
        <v>768956</v>
      </c>
      <c r="E25" s="368">
        <v>19432</v>
      </c>
      <c r="F25" s="371">
        <v>749524</v>
      </c>
      <c r="G25" s="368">
        <v>114816.91495182553</v>
      </c>
      <c r="H25" s="370">
        <v>114816.91495182553</v>
      </c>
      <c r="I25" s="160">
        <f t="shared" si="0"/>
        <v>0</v>
      </c>
      <c r="J25" s="160"/>
      <c r="K25" s="338">
        <f>G25</f>
        <v>114816.91495182553</v>
      </c>
      <c r="L25" s="162">
        <f t="shared" si="7"/>
        <v>0</v>
      </c>
      <c r="M25" s="338">
        <f>H25</f>
        <v>114816.91495182553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2018</v>
      </c>
      <c r="D26" s="371">
        <v>749524</v>
      </c>
      <c r="E26" s="368">
        <v>19864</v>
      </c>
      <c r="F26" s="371">
        <v>729660</v>
      </c>
      <c r="G26" s="368">
        <v>108436.75447594153</v>
      </c>
      <c r="H26" s="370">
        <v>108436.75447594153</v>
      </c>
      <c r="I26" s="160">
        <v>0</v>
      </c>
      <c r="J26" s="160"/>
      <c r="K26" s="338">
        <f>G26</f>
        <v>108436.75447594153</v>
      </c>
      <c r="L26" s="162">
        <f t="shared" si="7"/>
        <v>0</v>
      </c>
      <c r="M26" s="338">
        <f>H26</f>
        <v>108436.75447594153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2019</v>
      </c>
      <c r="D27" s="166">
        <f>IF(F26+SUM(E$17:E26)=D$10,F26,D$10-SUM(E$17:E26))</f>
        <v>729660</v>
      </c>
      <c r="E27" s="164">
        <f>IF(+I14&lt;F26,I14,D27)</f>
        <v>22346</v>
      </c>
      <c r="F27" s="163">
        <f t="shared" ref="F27:F48" si="10">+D27-E27</f>
        <v>707314</v>
      </c>
      <c r="G27" s="165">
        <f t="shared" ref="G27:G72" si="11">(D27+F27)/2*I$12+E27</f>
        <v>105133.16356955816</v>
      </c>
      <c r="H27" s="147">
        <f t="shared" ref="H27:H72" si="12">+(D27+F27)/2*I$13+E27</f>
        <v>105133.16356955816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6"/>
        <v/>
      </c>
      <c r="C28" s="157">
        <f>IF(D11="","-",+C27+1)</f>
        <v>2020</v>
      </c>
      <c r="D28" s="166">
        <f>IF(F27+SUM(E$17:E27)=D$10,F27,D$10-SUM(E$17:E27))</f>
        <v>707314</v>
      </c>
      <c r="E28" s="164">
        <f>IF(+I14&lt;F27,I14,D28)</f>
        <v>22346</v>
      </c>
      <c r="F28" s="163">
        <f t="shared" si="10"/>
        <v>684968</v>
      </c>
      <c r="G28" s="165">
        <f t="shared" si="11"/>
        <v>102558.36130156257</v>
      </c>
      <c r="H28" s="147">
        <f t="shared" si="12"/>
        <v>102558.36130156257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2021</v>
      </c>
      <c r="D29" s="166">
        <f>IF(F28+SUM(E$17:E28)=D$10,F28,D$10-SUM(E$17:E28))</f>
        <v>684968</v>
      </c>
      <c r="E29" s="164">
        <f>IF(+I14&lt;F28,I14,D29)</f>
        <v>22346</v>
      </c>
      <c r="F29" s="163">
        <f t="shared" si="10"/>
        <v>662622</v>
      </c>
      <c r="G29" s="165">
        <f t="shared" si="11"/>
        <v>99983.559033566999</v>
      </c>
      <c r="H29" s="147">
        <f t="shared" si="12"/>
        <v>99983.559033566999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2022</v>
      </c>
      <c r="D30" s="166">
        <f>IF(F29+SUM(E$17:E29)=D$10,F29,D$10-SUM(E$17:E29))</f>
        <v>662622</v>
      </c>
      <c r="E30" s="164">
        <f>IF(+I14&lt;F29,I14,D30)</f>
        <v>22346</v>
      </c>
      <c r="F30" s="163">
        <f t="shared" si="10"/>
        <v>640276</v>
      </c>
      <c r="G30" s="165">
        <f t="shared" si="11"/>
        <v>97408.756765571408</v>
      </c>
      <c r="H30" s="147">
        <f t="shared" si="12"/>
        <v>97408.756765571408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2023</v>
      </c>
      <c r="D31" s="166">
        <f>IF(F30+SUM(E$17:E30)=D$10,F30,D$10-SUM(E$17:E30))</f>
        <v>640276</v>
      </c>
      <c r="E31" s="164">
        <f>IF(+I14&lt;F30,I14,D31)</f>
        <v>22346</v>
      </c>
      <c r="F31" s="163">
        <f t="shared" si="10"/>
        <v>617930</v>
      </c>
      <c r="G31" s="165">
        <f t="shared" si="11"/>
        <v>94833.954497575818</v>
      </c>
      <c r="H31" s="147">
        <f t="shared" si="12"/>
        <v>94833.954497575818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2024</v>
      </c>
      <c r="D32" s="166">
        <f>IF(F31+SUM(E$17:E31)=D$10,F31,D$10-SUM(E$17:E31))</f>
        <v>617930</v>
      </c>
      <c r="E32" s="164">
        <f>IF(+I14&lt;F31,I14,D32)</f>
        <v>22346</v>
      </c>
      <c r="F32" s="163">
        <f t="shared" si="10"/>
        <v>595584</v>
      </c>
      <c r="G32" s="165">
        <f t="shared" si="11"/>
        <v>92259.152229580228</v>
      </c>
      <c r="H32" s="147">
        <f t="shared" si="12"/>
        <v>92259.152229580228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2025</v>
      </c>
      <c r="D33" s="166">
        <f>IF(F32+SUM(E$17:E32)=D$10,F32,D$10-SUM(E$17:E32))</f>
        <v>595584</v>
      </c>
      <c r="E33" s="164">
        <f>IF(+I14&lt;F32,I14,D33)</f>
        <v>22346</v>
      </c>
      <c r="F33" s="163">
        <f t="shared" si="10"/>
        <v>573238</v>
      </c>
      <c r="G33" s="165">
        <f t="shared" si="11"/>
        <v>89684.349961584638</v>
      </c>
      <c r="H33" s="147">
        <f t="shared" si="12"/>
        <v>89684.349961584638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2026</v>
      </c>
      <c r="D34" s="166">
        <f>IF(F33+SUM(E$17:E33)=D$10,F33,D$10-SUM(E$17:E33))</f>
        <v>573238</v>
      </c>
      <c r="E34" s="164">
        <f>IF(+I14&lt;F33,I14,D34)</f>
        <v>22346</v>
      </c>
      <c r="F34" s="163">
        <f t="shared" si="10"/>
        <v>550892</v>
      </c>
      <c r="G34" s="165">
        <f t="shared" si="11"/>
        <v>87109.547693589047</v>
      </c>
      <c r="H34" s="147">
        <f t="shared" si="12"/>
        <v>87109.547693589047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2027</v>
      </c>
      <c r="D35" s="166">
        <f>IF(F34+SUM(E$17:E34)=D$10,F34,D$10-SUM(E$17:E34))</f>
        <v>550892</v>
      </c>
      <c r="E35" s="164">
        <f>IF(+I14&lt;F34,I14,D35)</f>
        <v>22346</v>
      </c>
      <c r="F35" s="163">
        <f t="shared" si="10"/>
        <v>528546</v>
      </c>
      <c r="G35" s="165">
        <f t="shared" si="11"/>
        <v>84534.745425593457</v>
      </c>
      <c r="H35" s="147">
        <f t="shared" si="12"/>
        <v>84534.745425593457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2028</v>
      </c>
      <c r="D36" s="166">
        <f>IF(F35+SUM(E$17:E35)=D$10,F35,D$10-SUM(E$17:E35))</f>
        <v>528546</v>
      </c>
      <c r="E36" s="164">
        <f>IF(+I14&lt;F35,I14,D36)</f>
        <v>22346</v>
      </c>
      <c r="F36" s="163">
        <f t="shared" si="10"/>
        <v>506200</v>
      </c>
      <c r="G36" s="165">
        <f t="shared" si="11"/>
        <v>81959.943157597867</v>
      </c>
      <c r="H36" s="147">
        <f t="shared" si="12"/>
        <v>81959.943157597867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2029</v>
      </c>
      <c r="D37" s="166">
        <f>IF(F36+SUM(E$17:E36)=D$10,F36,D$10-SUM(E$17:E36))</f>
        <v>506200</v>
      </c>
      <c r="E37" s="164">
        <f>IF(+I14&lt;F36,I14,D37)</f>
        <v>22346</v>
      </c>
      <c r="F37" s="163">
        <f t="shared" si="10"/>
        <v>483854</v>
      </c>
      <c r="G37" s="165">
        <f t="shared" si="11"/>
        <v>79385.140889602277</v>
      </c>
      <c r="H37" s="147">
        <f t="shared" si="12"/>
        <v>79385.140889602277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2030</v>
      </c>
      <c r="D38" s="166">
        <f>IF(F37+SUM(E$17:E37)=D$10,F37,D$10-SUM(E$17:E37))</f>
        <v>483854</v>
      </c>
      <c r="E38" s="164">
        <f>IF(+I14&lt;F37,I14,D38)</f>
        <v>22346</v>
      </c>
      <c r="F38" s="163">
        <f t="shared" si="10"/>
        <v>461508</v>
      </c>
      <c r="G38" s="165">
        <f t="shared" si="11"/>
        <v>76810.338621606687</v>
      </c>
      <c r="H38" s="147">
        <f t="shared" si="12"/>
        <v>76810.338621606687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2031</v>
      </c>
      <c r="D39" s="166">
        <f>IF(F38+SUM(E$17:E38)=D$10,F38,D$10-SUM(E$17:E38))</f>
        <v>461508</v>
      </c>
      <c r="E39" s="164">
        <f>IF(+I14&lt;F38,I14,D39)</f>
        <v>22346</v>
      </c>
      <c r="F39" s="163">
        <f t="shared" si="10"/>
        <v>439162</v>
      </c>
      <c r="G39" s="165">
        <f t="shared" si="11"/>
        <v>74235.536353611096</v>
      </c>
      <c r="H39" s="147">
        <f t="shared" si="12"/>
        <v>74235.536353611096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2032</v>
      </c>
      <c r="D40" s="166">
        <f>IF(F39+SUM(E$17:E39)=D$10,F39,D$10-SUM(E$17:E39))</f>
        <v>439162</v>
      </c>
      <c r="E40" s="164">
        <f>IF(+I14&lt;F39,I14,D40)</f>
        <v>22346</v>
      </c>
      <c r="F40" s="163">
        <f t="shared" si="10"/>
        <v>416816</v>
      </c>
      <c r="G40" s="165">
        <f t="shared" si="11"/>
        <v>71660.734085615521</v>
      </c>
      <c r="H40" s="147">
        <f t="shared" si="12"/>
        <v>71660.734085615521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2033</v>
      </c>
      <c r="D41" s="166">
        <f>IF(F40+SUM(E$17:E40)=D$10,F40,D$10-SUM(E$17:E40))</f>
        <v>416816</v>
      </c>
      <c r="E41" s="164">
        <f>IF(+I14&lt;F40,I14,D41)</f>
        <v>22346</v>
      </c>
      <c r="F41" s="163">
        <f t="shared" si="10"/>
        <v>394470</v>
      </c>
      <c r="G41" s="165">
        <f t="shared" si="11"/>
        <v>69085.931817619916</v>
      </c>
      <c r="H41" s="147">
        <f t="shared" si="12"/>
        <v>69085.931817619916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2034</v>
      </c>
      <c r="D42" s="166">
        <f>IF(F41+SUM(E$17:E41)=D$10,F41,D$10-SUM(E$17:E41))</f>
        <v>394470</v>
      </c>
      <c r="E42" s="164">
        <f>IF(+I14&lt;F41,I14,D42)</f>
        <v>22346</v>
      </c>
      <c r="F42" s="163">
        <f t="shared" si="10"/>
        <v>372124</v>
      </c>
      <c r="G42" s="165">
        <f t="shared" si="11"/>
        <v>66511.12954962434</v>
      </c>
      <c r="H42" s="147">
        <f t="shared" si="12"/>
        <v>66511.12954962434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2035</v>
      </c>
      <c r="D43" s="166">
        <f>IF(F42+SUM(E$17:E42)=D$10,F42,D$10-SUM(E$17:E42))</f>
        <v>372124</v>
      </c>
      <c r="E43" s="164">
        <f>IF(+I14&lt;F42,I14,D43)</f>
        <v>22346</v>
      </c>
      <c r="F43" s="163">
        <f t="shared" si="10"/>
        <v>349778</v>
      </c>
      <c r="G43" s="165">
        <f t="shared" si="11"/>
        <v>63936.327281628743</v>
      </c>
      <c r="H43" s="147">
        <f t="shared" si="12"/>
        <v>63936.327281628743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2036</v>
      </c>
      <c r="D44" s="166">
        <f>IF(F43+SUM(E$17:E43)=D$10,F43,D$10-SUM(E$17:E43))</f>
        <v>349778</v>
      </c>
      <c r="E44" s="164">
        <f>IF(+I14&lt;F43,I14,D44)</f>
        <v>22346</v>
      </c>
      <c r="F44" s="163">
        <f t="shared" si="10"/>
        <v>327432</v>
      </c>
      <c r="G44" s="165">
        <f t="shared" si="11"/>
        <v>61361.525013633152</v>
      </c>
      <c r="H44" s="147">
        <f t="shared" si="12"/>
        <v>61361.525013633152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2037</v>
      </c>
      <c r="D45" s="166">
        <f>IF(F44+SUM(E$17:E44)=D$10,F44,D$10-SUM(E$17:E44))</f>
        <v>327432</v>
      </c>
      <c r="E45" s="164">
        <f>IF(+I14&lt;F44,I14,D45)</f>
        <v>22346</v>
      </c>
      <c r="F45" s="163">
        <f t="shared" si="10"/>
        <v>305086</v>
      </c>
      <c r="G45" s="165">
        <f t="shared" si="11"/>
        <v>58786.722745637562</v>
      </c>
      <c r="H45" s="147">
        <f t="shared" si="12"/>
        <v>58786.722745637562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2038</v>
      </c>
      <c r="D46" s="166">
        <f>IF(F45+SUM(E$17:E45)=D$10,F45,D$10-SUM(E$17:E45))</f>
        <v>305086</v>
      </c>
      <c r="E46" s="164">
        <f>IF(+I14&lt;F45,I14,D46)</f>
        <v>22346</v>
      </c>
      <c r="F46" s="163">
        <f t="shared" si="10"/>
        <v>282740</v>
      </c>
      <c r="G46" s="165">
        <f t="shared" si="11"/>
        <v>56211.920477641979</v>
      </c>
      <c r="H46" s="147">
        <f t="shared" si="12"/>
        <v>56211.920477641979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2039</v>
      </c>
      <c r="D47" s="166">
        <f>IF(F46+SUM(E$17:E46)=D$10,F46,D$10-SUM(E$17:E46))</f>
        <v>282740</v>
      </c>
      <c r="E47" s="164">
        <f>IF(+I14&lt;F46,I14,D47)</f>
        <v>22346</v>
      </c>
      <c r="F47" s="163">
        <f t="shared" si="10"/>
        <v>260394</v>
      </c>
      <c r="G47" s="165">
        <f t="shared" si="11"/>
        <v>53637.118209646389</v>
      </c>
      <c r="H47" s="147">
        <f t="shared" si="12"/>
        <v>53637.118209646389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2040</v>
      </c>
      <c r="D48" s="166">
        <f>IF(F47+SUM(E$17:E47)=D$10,F47,D$10-SUM(E$17:E47))</f>
        <v>260394</v>
      </c>
      <c r="E48" s="164">
        <f>IF(+I14&lt;F47,I14,D48)</f>
        <v>22346</v>
      </c>
      <c r="F48" s="163">
        <f t="shared" si="10"/>
        <v>238048</v>
      </c>
      <c r="G48" s="165">
        <f t="shared" si="11"/>
        <v>51062.315941650799</v>
      </c>
      <c r="H48" s="147">
        <f t="shared" si="12"/>
        <v>51062.315941650799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2041</v>
      </c>
      <c r="D49" s="166">
        <f>IF(F48+SUM(E$17:E48)=D$10,F48,D$10-SUM(E$17:E48))</f>
        <v>238048</v>
      </c>
      <c r="E49" s="164">
        <f>IF(+I14&lt;F48,I14,D49)</f>
        <v>22346</v>
      </c>
      <c r="F49" s="163">
        <f t="shared" ref="F49:F72" si="13">+D49-E49</f>
        <v>215702</v>
      </c>
      <c r="G49" s="165">
        <f t="shared" si="11"/>
        <v>48487.513673655209</v>
      </c>
      <c r="H49" s="147">
        <f t="shared" si="12"/>
        <v>48487.513673655209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6"/>
        <v/>
      </c>
      <c r="C50" s="157">
        <f>IF(D11="","-",+C49+1)</f>
        <v>2042</v>
      </c>
      <c r="D50" s="166">
        <f>IF(F49+SUM(E$17:E49)=D$10,F49,D$10-SUM(E$17:E49))</f>
        <v>215702</v>
      </c>
      <c r="E50" s="164">
        <f>IF(+I14&lt;F49,I14,D50)</f>
        <v>22346</v>
      </c>
      <c r="F50" s="163">
        <f t="shared" si="13"/>
        <v>193356</v>
      </c>
      <c r="G50" s="165">
        <f t="shared" si="11"/>
        <v>45912.711405659618</v>
      </c>
      <c r="H50" s="147">
        <f t="shared" si="12"/>
        <v>45912.711405659618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6"/>
        <v/>
      </c>
      <c r="C51" s="157">
        <f>IF(D11="","-",+C50+1)</f>
        <v>2043</v>
      </c>
      <c r="D51" s="166">
        <f>IF(F50+SUM(E$17:E50)=D$10,F50,D$10-SUM(E$17:E50))</f>
        <v>193356</v>
      </c>
      <c r="E51" s="164">
        <f>IF(+I14&lt;F50,I14,D51)</f>
        <v>22346</v>
      </c>
      <c r="F51" s="163">
        <f t="shared" si="13"/>
        <v>171010</v>
      </c>
      <c r="G51" s="165">
        <f t="shared" si="11"/>
        <v>43337.909137664028</v>
      </c>
      <c r="H51" s="147">
        <f t="shared" si="12"/>
        <v>43337.909137664028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6"/>
        <v/>
      </c>
      <c r="C52" s="157">
        <f>IF(D11="","-",+C51+1)</f>
        <v>2044</v>
      </c>
      <c r="D52" s="166">
        <f>IF(F51+SUM(E$17:E51)=D$10,F51,D$10-SUM(E$17:E51))</f>
        <v>171010</v>
      </c>
      <c r="E52" s="164">
        <f>IF(+I14&lt;F51,I14,D52)</f>
        <v>22346</v>
      </c>
      <c r="F52" s="163">
        <f t="shared" si="13"/>
        <v>148664</v>
      </c>
      <c r="G52" s="165">
        <f t="shared" si="11"/>
        <v>40763.106869668438</v>
      </c>
      <c r="H52" s="147">
        <f t="shared" si="12"/>
        <v>40763.106869668438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6"/>
        <v/>
      </c>
      <c r="C53" s="157">
        <f>IF(D11="","-",+C52+1)</f>
        <v>2045</v>
      </c>
      <c r="D53" s="166">
        <f>IF(F52+SUM(E$17:E52)=D$10,F52,D$10-SUM(E$17:E52))</f>
        <v>148664</v>
      </c>
      <c r="E53" s="164">
        <f>IF(+I14&lt;F52,I14,D53)</f>
        <v>22346</v>
      </c>
      <c r="F53" s="163">
        <f t="shared" si="13"/>
        <v>126318</v>
      </c>
      <c r="G53" s="165">
        <f t="shared" si="11"/>
        <v>38188.304601672848</v>
      </c>
      <c r="H53" s="147">
        <f t="shared" si="12"/>
        <v>38188.304601672848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6"/>
        <v/>
      </c>
      <c r="C54" s="157">
        <f>IF(D11="","-",+C53+1)</f>
        <v>2046</v>
      </c>
      <c r="D54" s="166">
        <f>IF(F53+SUM(E$17:E53)=D$10,F53,D$10-SUM(E$17:E53))</f>
        <v>126318</v>
      </c>
      <c r="E54" s="164">
        <f>IF(+I14&lt;F53,I14,D54)</f>
        <v>22346</v>
      </c>
      <c r="F54" s="163">
        <f t="shared" si="13"/>
        <v>103972</v>
      </c>
      <c r="G54" s="165">
        <f t="shared" si="11"/>
        <v>35613.502333677265</v>
      </c>
      <c r="H54" s="147">
        <f t="shared" si="12"/>
        <v>35613.502333677265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6"/>
        <v/>
      </c>
      <c r="C55" s="157">
        <f>IF(D11="","-",+C54+1)</f>
        <v>2047</v>
      </c>
      <c r="D55" s="166">
        <f>IF(F54+SUM(E$17:E54)=D$10,F54,D$10-SUM(E$17:E54))</f>
        <v>103972</v>
      </c>
      <c r="E55" s="164">
        <f>IF(+I14&lt;F54,I14,D55)</f>
        <v>22346</v>
      </c>
      <c r="F55" s="163">
        <f t="shared" si="13"/>
        <v>81626</v>
      </c>
      <c r="G55" s="165">
        <f t="shared" si="11"/>
        <v>33038.700065681674</v>
      </c>
      <c r="H55" s="147">
        <f t="shared" si="12"/>
        <v>33038.700065681674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6"/>
        <v/>
      </c>
      <c r="C56" s="157">
        <f>IF(D11="","-",+C55+1)</f>
        <v>2048</v>
      </c>
      <c r="D56" s="166">
        <f>IF(F55+SUM(E$17:E55)=D$10,F55,D$10-SUM(E$17:E55))</f>
        <v>81626</v>
      </c>
      <c r="E56" s="164">
        <f>IF(+I14&lt;F55,I14,D56)</f>
        <v>22346</v>
      </c>
      <c r="F56" s="163">
        <f t="shared" si="13"/>
        <v>59280</v>
      </c>
      <c r="G56" s="165">
        <f t="shared" si="11"/>
        <v>30463.897797686084</v>
      </c>
      <c r="H56" s="147">
        <f t="shared" si="12"/>
        <v>30463.897797686084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6"/>
        <v/>
      </c>
      <c r="C57" s="157">
        <f>IF(D11="","-",+C56+1)</f>
        <v>2049</v>
      </c>
      <c r="D57" s="166">
        <f>IF(F56+SUM(E$17:E56)=D$10,F56,D$10-SUM(E$17:E56))</f>
        <v>59280</v>
      </c>
      <c r="E57" s="164">
        <f>IF(+I14&lt;F56,I14,D57)</f>
        <v>22346</v>
      </c>
      <c r="F57" s="163">
        <f t="shared" si="13"/>
        <v>36934</v>
      </c>
      <c r="G57" s="165">
        <f t="shared" si="11"/>
        <v>27889.095529690494</v>
      </c>
      <c r="H57" s="147">
        <f t="shared" si="12"/>
        <v>27889.095529690494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6"/>
        <v/>
      </c>
      <c r="C58" s="157">
        <f>IF(D11="","-",+C57+1)</f>
        <v>2050</v>
      </c>
      <c r="D58" s="166">
        <f>IF(F57+SUM(E$17:E57)=D$10,F57,D$10-SUM(E$17:E57))</f>
        <v>36934</v>
      </c>
      <c r="E58" s="164">
        <f>IF(+I14&lt;F57,I14,D58)</f>
        <v>22346</v>
      </c>
      <c r="F58" s="163">
        <f t="shared" si="13"/>
        <v>14588</v>
      </c>
      <c r="G58" s="165">
        <f t="shared" si="11"/>
        <v>25314.293261694907</v>
      </c>
      <c r="H58" s="147">
        <f t="shared" si="12"/>
        <v>25314.293261694907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6"/>
        <v/>
      </c>
      <c r="C59" s="157">
        <f>IF(D11="","-",+C58+1)</f>
        <v>2051</v>
      </c>
      <c r="D59" s="166">
        <f>IF(F58+SUM(E$17:E58)=D$10,F58,D$10-SUM(E$17:E58))</f>
        <v>14588</v>
      </c>
      <c r="E59" s="164">
        <f>IF(+I14&lt;F58,I14,D59)</f>
        <v>14588</v>
      </c>
      <c r="F59" s="163">
        <f t="shared" si="13"/>
        <v>0</v>
      </c>
      <c r="G59" s="165">
        <f t="shared" si="11"/>
        <v>15428.446063848556</v>
      </c>
      <c r="H59" s="147">
        <f t="shared" si="12"/>
        <v>15428.446063848556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6"/>
        <v/>
      </c>
      <c r="C60" s="157">
        <f>IF(D11="","-",+C59+1)</f>
        <v>2052</v>
      </c>
      <c r="D60" s="166">
        <f>IF(F59+SUM(E$17:E59)=D$10,F59,D$10-SUM(E$17:E59))</f>
        <v>0</v>
      </c>
      <c r="E60" s="164">
        <f>IF(+I14&lt;F59,I14,D60)</f>
        <v>0</v>
      </c>
      <c r="F60" s="163">
        <f t="shared" si="13"/>
        <v>0</v>
      </c>
      <c r="G60" s="165">
        <f t="shared" si="11"/>
        <v>0</v>
      </c>
      <c r="H60" s="147">
        <f t="shared" si="12"/>
        <v>0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6"/>
        <v/>
      </c>
      <c r="C61" s="157">
        <f>IF(D11="","-",+C60+1)</f>
        <v>2053</v>
      </c>
      <c r="D61" s="166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6"/>
        <v/>
      </c>
      <c r="C62" s="157">
        <f>IF(D11="","-",+C61+1)</f>
        <v>2054</v>
      </c>
      <c r="D62" s="166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6"/>
        <v/>
      </c>
      <c r="C63" s="157">
        <f>IF(D11="","-",+C62+1)</f>
        <v>2055</v>
      </c>
      <c r="D63" s="166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6"/>
        <v/>
      </c>
      <c r="C64" s="157">
        <f>IF(D11="","-",+C63+1)</f>
        <v>2056</v>
      </c>
      <c r="D64" s="166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1:16">
      <c r="B65" s="9" t="str">
        <f t="shared" si="6"/>
        <v/>
      </c>
      <c r="C65" s="157">
        <f>IF(D11="","-",+C64+1)</f>
        <v>2057</v>
      </c>
      <c r="D65" s="166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1:16">
      <c r="B66" s="9" t="str">
        <f t="shared" si="6"/>
        <v/>
      </c>
      <c r="C66" s="157">
        <f>IF(D11="","-",+C65+1)</f>
        <v>2058</v>
      </c>
      <c r="D66" s="166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1:16">
      <c r="B67" s="9" t="str">
        <f t="shared" si="6"/>
        <v/>
      </c>
      <c r="C67" s="157">
        <f>IF(D11="","-",+C66+1)</f>
        <v>2059</v>
      </c>
      <c r="D67" s="166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1:16">
      <c r="B68" s="9" t="str">
        <f t="shared" si="6"/>
        <v/>
      </c>
      <c r="C68" s="157">
        <f>IF(D11="","-",+C67+1)</f>
        <v>2060</v>
      </c>
      <c r="D68" s="166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1:16">
      <c r="B69" s="9" t="str">
        <f t="shared" si="6"/>
        <v/>
      </c>
      <c r="C69" s="157">
        <f>IF(D11="","-",+C68+1)</f>
        <v>2061</v>
      </c>
      <c r="D69" s="166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1:16">
      <c r="B70" s="9" t="str">
        <f t="shared" si="6"/>
        <v/>
      </c>
      <c r="C70" s="157">
        <f>IF(D11="","-",+C69+1)</f>
        <v>2062</v>
      </c>
      <c r="D70" s="166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1:16">
      <c r="B71" s="9" t="str">
        <f t="shared" si="6"/>
        <v/>
      </c>
      <c r="C71" s="157">
        <f>IF(D11="","-",+C70+1)</f>
        <v>2063</v>
      </c>
      <c r="D71" s="166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1:16" ht="13.5" thickBot="1">
      <c r="B72" s="9" t="str">
        <f t="shared" si="6"/>
        <v/>
      </c>
      <c r="C72" s="168">
        <f>IF(D11="","-",+C71+1)</f>
        <v>2064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1:16">
      <c r="C73" s="158" t="s">
        <v>72</v>
      </c>
      <c r="D73" s="115"/>
      <c r="E73" s="115">
        <f>SUM(E17:E72)</f>
        <v>893858</v>
      </c>
      <c r="F73" s="115"/>
      <c r="G73" s="115">
        <f>SUM(G17:G72)</f>
        <v>3315350.1180827781</v>
      </c>
      <c r="H73" s="115">
        <f>SUM(H17:H72)</f>
        <v>3315350.1180827781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1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1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1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1:16" ht="18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114"/>
      <c r="P77" s="4"/>
    </row>
    <row r="78" spans="1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1:16" ht="15">
      <c r="A79" s="250"/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</row>
    <row r="80" spans="1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51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1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114816.91495182553</v>
      </c>
      <c r="N87" s="202">
        <f>IF(J92&lt;D11,0,VLOOKUP(J92,C17:O72,11))</f>
        <v>114816.91495182553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114983.91552559278</v>
      </c>
      <c r="N88" s="204">
        <f>IF(J92&lt;D11,0,VLOOKUP(J92,C99:P154,7))</f>
        <v>114983.91552559278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Riverside-Glenpool (81-523) Reconductor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167.00057376724726</v>
      </c>
      <c r="N89" s="207">
        <f>+N88-N87</f>
        <v>167.00057376724726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TP2006087</v>
      </c>
      <c r="E91" s="210"/>
      <c r="F91" s="210"/>
      <c r="G91" s="210"/>
      <c r="H91" s="210"/>
      <c r="I91" s="210"/>
      <c r="J91" s="247"/>
      <c r="K91" s="211"/>
      <c r="P91" s="137"/>
    </row>
    <row r="92" spans="1:16">
      <c r="C92" s="376" t="s">
        <v>216</v>
      </c>
      <c r="D92" s="138">
        <v>893858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2009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19432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2009</v>
      </c>
      <c r="D99" s="366">
        <v>0</v>
      </c>
      <c r="E99" s="368">
        <v>7981</v>
      </c>
      <c r="F99" s="371">
        <v>885877</v>
      </c>
      <c r="G99" s="373">
        <v>442938.5</v>
      </c>
      <c r="H99" s="374">
        <v>72742</v>
      </c>
      <c r="I99" s="375">
        <v>72742</v>
      </c>
      <c r="J99" s="162">
        <f t="shared" ref="J99:J130" si="18">+I99-H99</f>
        <v>0</v>
      </c>
      <c r="K99" s="162"/>
      <c r="L99" s="338">
        <f t="shared" ref="L99:L104" si="19">H99</f>
        <v>72742</v>
      </c>
      <c r="M99" s="161">
        <f t="shared" ref="M99:M130" si="20">IF(L99&lt;&gt;0,+H99-L99,0)</f>
        <v>0</v>
      </c>
      <c r="N99" s="338">
        <f t="shared" ref="N99:N104" si="21">I99</f>
        <v>72742</v>
      </c>
      <c r="O99" s="161">
        <f t="shared" ref="O99:O130" si="22">IF(N99&lt;&gt;0,+I99-N99,0)</f>
        <v>0</v>
      </c>
      <c r="P99" s="161">
        <f t="shared" ref="P99:P130" si="23">+O99-M99</f>
        <v>0</v>
      </c>
    </row>
    <row r="100" spans="1:16">
      <c r="B100" s="9" t="str">
        <f>IF(D100=F99,"","IU")</f>
        <v/>
      </c>
      <c r="C100" s="157">
        <f>IF(D93="","-",+C99+1)</f>
        <v>2010</v>
      </c>
      <c r="D100" s="366">
        <v>885877</v>
      </c>
      <c r="E100" s="368">
        <v>17527</v>
      </c>
      <c r="F100" s="371">
        <v>868350</v>
      </c>
      <c r="G100" s="371">
        <v>877113.5</v>
      </c>
      <c r="H100" s="374">
        <v>158580.20000000001</v>
      </c>
      <c r="I100" s="375">
        <v>158580.20000000001</v>
      </c>
      <c r="J100" s="162">
        <f t="shared" si="18"/>
        <v>0</v>
      </c>
      <c r="K100" s="162"/>
      <c r="L100" s="338">
        <f t="shared" si="19"/>
        <v>158580.20000000001</v>
      </c>
      <c r="M100" s="162">
        <f t="shared" si="20"/>
        <v>0</v>
      </c>
      <c r="N100" s="338">
        <f t="shared" si="21"/>
        <v>158580.20000000001</v>
      </c>
      <c r="O100" s="162">
        <f t="shared" si="22"/>
        <v>0</v>
      </c>
      <c r="P100" s="162">
        <f t="shared" si="23"/>
        <v>0</v>
      </c>
    </row>
    <row r="101" spans="1:16">
      <c r="B101" s="9" t="str">
        <f t="shared" ref="B101:B154" si="24">IF(D101=F100,"","IU")</f>
        <v/>
      </c>
      <c r="C101" s="405">
        <f>IF(D93="","-",+C100+1)</f>
        <v>2011</v>
      </c>
      <c r="D101" s="366">
        <v>868350</v>
      </c>
      <c r="E101" s="368">
        <v>17190</v>
      </c>
      <c r="F101" s="371">
        <v>851160</v>
      </c>
      <c r="G101" s="371">
        <v>859755</v>
      </c>
      <c r="H101" s="368">
        <v>137395.30233025842</v>
      </c>
      <c r="I101" s="370">
        <v>137395.30233025842</v>
      </c>
      <c r="J101" s="162">
        <f t="shared" si="18"/>
        <v>0</v>
      </c>
      <c r="K101" s="162"/>
      <c r="L101" s="380">
        <f t="shared" si="19"/>
        <v>137395.30233025842</v>
      </c>
      <c r="M101" s="381">
        <f t="shared" si="20"/>
        <v>0</v>
      </c>
      <c r="N101" s="380">
        <f t="shared" si="21"/>
        <v>137395.30233025842</v>
      </c>
      <c r="O101" s="162">
        <f t="shared" si="22"/>
        <v>0</v>
      </c>
      <c r="P101" s="162">
        <f t="shared" si="23"/>
        <v>0</v>
      </c>
    </row>
    <row r="102" spans="1:16">
      <c r="B102" s="9" t="str">
        <f t="shared" si="24"/>
        <v/>
      </c>
      <c r="C102" s="405">
        <f>IF(D93="","-",+C101+1)</f>
        <v>2012</v>
      </c>
      <c r="D102" s="366">
        <v>851160</v>
      </c>
      <c r="E102" s="368">
        <v>17190</v>
      </c>
      <c r="F102" s="371">
        <v>833970</v>
      </c>
      <c r="G102" s="371">
        <v>842565</v>
      </c>
      <c r="H102" s="368">
        <v>138397.59402070014</v>
      </c>
      <c r="I102" s="370">
        <v>138397.59402070014</v>
      </c>
      <c r="J102" s="162">
        <v>0</v>
      </c>
      <c r="K102" s="162"/>
      <c r="L102" s="380">
        <f t="shared" si="19"/>
        <v>138397.59402070014</v>
      </c>
      <c r="M102" s="381">
        <f>IF(L102&lt;&gt;0,+H102-L102,0)</f>
        <v>0</v>
      </c>
      <c r="N102" s="380">
        <f t="shared" si="21"/>
        <v>138397.59402070014</v>
      </c>
      <c r="O102" s="162">
        <f>IF(N102&lt;&gt;0,+I102-N102,0)</f>
        <v>0</v>
      </c>
      <c r="P102" s="162">
        <f>+O102-M102</f>
        <v>0</v>
      </c>
    </row>
    <row r="103" spans="1:16">
      <c r="B103" s="9" t="str">
        <f t="shared" si="24"/>
        <v/>
      </c>
      <c r="C103" s="157">
        <f>IF(D93="","-",+C102+1)</f>
        <v>2013</v>
      </c>
      <c r="D103" s="366">
        <v>833970</v>
      </c>
      <c r="E103" s="368">
        <v>17190</v>
      </c>
      <c r="F103" s="371">
        <v>816780</v>
      </c>
      <c r="G103" s="371">
        <v>825375</v>
      </c>
      <c r="H103" s="368">
        <v>135994.14234787846</v>
      </c>
      <c r="I103" s="370">
        <v>135994.14234787846</v>
      </c>
      <c r="J103" s="162">
        <v>0</v>
      </c>
      <c r="K103" s="162"/>
      <c r="L103" s="380">
        <f t="shared" si="19"/>
        <v>135994.14234787846</v>
      </c>
      <c r="M103" s="381">
        <f>IF(L103&lt;&gt;0,+H103-L103,0)</f>
        <v>0</v>
      </c>
      <c r="N103" s="380">
        <f t="shared" si="21"/>
        <v>135994.14234787846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4"/>
        <v/>
      </c>
      <c r="C104" s="157">
        <f>IF(D93="","-",+C103+1)</f>
        <v>2014</v>
      </c>
      <c r="D104" s="366">
        <v>816780</v>
      </c>
      <c r="E104" s="368">
        <v>17190</v>
      </c>
      <c r="F104" s="371">
        <v>799590</v>
      </c>
      <c r="G104" s="371">
        <v>808185</v>
      </c>
      <c r="H104" s="368">
        <v>130817.50733584017</v>
      </c>
      <c r="I104" s="370">
        <v>130817.50733584017</v>
      </c>
      <c r="J104" s="162">
        <v>0</v>
      </c>
      <c r="K104" s="162"/>
      <c r="L104" s="380">
        <f t="shared" si="19"/>
        <v>130817.50733584017</v>
      </c>
      <c r="M104" s="381">
        <f>IF(L104&lt;&gt;0,+H104-L104,0)</f>
        <v>0</v>
      </c>
      <c r="N104" s="380">
        <f t="shared" si="21"/>
        <v>130817.50733584017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4"/>
        <v/>
      </c>
      <c r="C105" s="157">
        <f>IF(D93="","-",+C104+1)</f>
        <v>2015</v>
      </c>
      <c r="D105" s="366">
        <v>799590</v>
      </c>
      <c r="E105" s="368">
        <v>17190</v>
      </c>
      <c r="F105" s="371">
        <v>782400</v>
      </c>
      <c r="G105" s="371">
        <v>790995</v>
      </c>
      <c r="H105" s="368">
        <v>125114.9078367878</v>
      </c>
      <c r="I105" s="370">
        <v>125114.9078367878</v>
      </c>
      <c r="J105" s="162">
        <f t="shared" si="18"/>
        <v>0</v>
      </c>
      <c r="K105" s="162"/>
      <c r="L105" s="380">
        <f>H105</f>
        <v>125114.9078367878</v>
      </c>
      <c r="M105" s="381">
        <f>IF(L105&lt;&gt;0,+H105-L105,0)</f>
        <v>0</v>
      </c>
      <c r="N105" s="380">
        <f>I105</f>
        <v>125114.9078367878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4"/>
        <v/>
      </c>
      <c r="C106" s="157">
        <f>IF(D93="","-",+C105+1)</f>
        <v>2016</v>
      </c>
      <c r="D106" s="366">
        <v>782400</v>
      </c>
      <c r="E106" s="368">
        <v>19432</v>
      </c>
      <c r="F106" s="371">
        <v>762968</v>
      </c>
      <c r="G106" s="371">
        <v>772684</v>
      </c>
      <c r="H106" s="368">
        <v>119043.13650322839</v>
      </c>
      <c r="I106" s="370">
        <v>119043.13650322839</v>
      </c>
      <c r="J106" s="162">
        <v>0</v>
      </c>
      <c r="K106" s="162"/>
      <c r="L106" s="380">
        <f>H106</f>
        <v>119043.13650322839</v>
      </c>
      <c r="M106" s="381">
        <f>IF(L106&lt;&gt;0,+H106-L106,0)</f>
        <v>0</v>
      </c>
      <c r="N106" s="380">
        <f>I106</f>
        <v>119043.13650322839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4"/>
        <v/>
      </c>
      <c r="C107" s="157">
        <f>IF(D93="","-",+C106+1)</f>
        <v>2017</v>
      </c>
      <c r="D107" s="158">
        <f>IF(F106+SUM(E$99:E106)=D$92,F106,D$92-SUM(E$99:E106))</f>
        <v>762968</v>
      </c>
      <c r="E107" s="165">
        <f>IF(+J96&lt;F106,J96,D107)</f>
        <v>19432</v>
      </c>
      <c r="F107" s="163">
        <f t="shared" ref="F107:F130" si="25">+D107-E107</f>
        <v>743536</v>
      </c>
      <c r="G107" s="163">
        <f t="shared" ref="G107:G130" si="26">+(F107+D107)/2</f>
        <v>753252</v>
      </c>
      <c r="H107" s="167">
        <f t="shared" ref="H107:H131" si="27">+J$94*G107+E107</f>
        <v>114983.91552559278</v>
      </c>
      <c r="I107" s="317">
        <f t="shared" ref="I107:I131" si="28">+J$95*G107+E107</f>
        <v>114983.91552559278</v>
      </c>
      <c r="J107" s="162">
        <f t="shared" si="18"/>
        <v>0</v>
      </c>
      <c r="K107" s="162"/>
      <c r="L107" s="335"/>
      <c r="M107" s="162">
        <f t="shared" si="20"/>
        <v>0</v>
      </c>
      <c r="N107" s="335"/>
      <c r="O107" s="162">
        <f t="shared" si="22"/>
        <v>0</v>
      </c>
      <c r="P107" s="162">
        <f t="shared" si="23"/>
        <v>0</v>
      </c>
    </row>
    <row r="108" spans="1:16">
      <c r="B108" s="9" t="str">
        <f t="shared" si="24"/>
        <v/>
      </c>
      <c r="C108" s="157">
        <f>IF(D93="","-",+C107+1)</f>
        <v>2018</v>
      </c>
      <c r="D108" s="158">
        <f>IF(F107+SUM(E$99:E107)=D$92,F107,D$92-SUM(E$99:E107))</f>
        <v>743536</v>
      </c>
      <c r="E108" s="165">
        <f>IF(+J96&lt;F107,J96,D108)</f>
        <v>19432</v>
      </c>
      <c r="F108" s="163">
        <f t="shared" si="25"/>
        <v>724104</v>
      </c>
      <c r="G108" s="163">
        <f t="shared" si="26"/>
        <v>733820</v>
      </c>
      <c r="H108" s="167">
        <f t="shared" si="27"/>
        <v>112518.91732778738</v>
      </c>
      <c r="I108" s="317">
        <f t="shared" si="28"/>
        <v>112518.91732778738</v>
      </c>
      <c r="J108" s="162">
        <f t="shared" si="18"/>
        <v>0</v>
      </c>
      <c r="K108" s="162"/>
      <c r="L108" s="335"/>
      <c r="M108" s="162">
        <f t="shared" si="20"/>
        <v>0</v>
      </c>
      <c r="N108" s="335"/>
      <c r="O108" s="162">
        <f t="shared" si="22"/>
        <v>0</v>
      </c>
      <c r="P108" s="162">
        <f t="shared" si="23"/>
        <v>0</v>
      </c>
    </row>
    <row r="109" spans="1:16">
      <c r="B109" s="9" t="str">
        <f t="shared" si="24"/>
        <v/>
      </c>
      <c r="C109" s="157">
        <f>IF(D93="","-",+C108+1)</f>
        <v>2019</v>
      </c>
      <c r="D109" s="158">
        <f>IF(F108+SUM(E$99:E108)=D$92,F108,D$92-SUM(E$99:E108))</f>
        <v>724104</v>
      </c>
      <c r="E109" s="165">
        <f>IF(+J96&lt;F108,J96,D109)</f>
        <v>19432</v>
      </c>
      <c r="F109" s="163">
        <f t="shared" si="25"/>
        <v>704672</v>
      </c>
      <c r="G109" s="163">
        <f t="shared" si="26"/>
        <v>714388</v>
      </c>
      <c r="H109" s="167">
        <f t="shared" si="27"/>
        <v>110053.91912998196</v>
      </c>
      <c r="I109" s="317">
        <f t="shared" si="28"/>
        <v>110053.91912998196</v>
      </c>
      <c r="J109" s="162">
        <f t="shared" si="18"/>
        <v>0</v>
      </c>
      <c r="K109" s="162"/>
      <c r="L109" s="335"/>
      <c r="M109" s="162">
        <f t="shared" si="20"/>
        <v>0</v>
      </c>
      <c r="N109" s="335"/>
      <c r="O109" s="162">
        <f t="shared" si="22"/>
        <v>0</v>
      </c>
      <c r="P109" s="162">
        <f t="shared" si="23"/>
        <v>0</v>
      </c>
    </row>
    <row r="110" spans="1:16">
      <c r="B110" s="9" t="str">
        <f t="shared" si="24"/>
        <v/>
      </c>
      <c r="C110" s="157">
        <f>IF(D93="","-",+C109+1)</f>
        <v>2020</v>
      </c>
      <c r="D110" s="158">
        <f>IF(F109+SUM(E$99:E109)=D$92,F109,D$92-SUM(E$99:E109))</f>
        <v>704672</v>
      </c>
      <c r="E110" s="165">
        <f>IF(+J96&lt;F109,J96,D110)</f>
        <v>19432</v>
      </c>
      <c r="F110" s="163">
        <f t="shared" si="25"/>
        <v>685240</v>
      </c>
      <c r="G110" s="163">
        <f t="shared" si="26"/>
        <v>694956</v>
      </c>
      <c r="H110" s="167">
        <f t="shared" si="27"/>
        <v>107588.92093217655</v>
      </c>
      <c r="I110" s="317">
        <f t="shared" si="28"/>
        <v>107588.92093217655</v>
      </c>
      <c r="J110" s="162">
        <f t="shared" si="18"/>
        <v>0</v>
      </c>
      <c r="K110" s="162"/>
      <c r="L110" s="335"/>
      <c r="M110" s="162">
        <f t="shared" si="20"/>
        <v>0</v>
      </c>
      <c r="N110" s="335"/>
      <c r="O110" s="162">
        <f t="shared" si="22"/>
        <v>0</v>
      </c>
      <c r="P110" s="162">
        <f t="shared" si="23"/>
        <v>0</v>
      </c>
    </row>
    <row r="111" spans="1:16">
      <c r="B111" s="9" t="str">
        <f t="shared" si="24"/>
        <v/>
      </c>
      <c r="C111" s="157">
        <f>IF(D93="","-",+C110+1)</f>
        <v>2021</v>
      </c>
      <c r="D111" s="158">
        <f>IF(F110+SUM(E$99:E110)=D$92,F110,D$92-SUM(E$99:E110))</f>
        <v>685240</v>
      </c>
      <c r="E111" s="165">
        <f>IF(+J96&lt;F110,J96,D111)</f>
        <v>19432</v>
      </c>
      <c r="F111" s="163">
        <f t="shared" si="25"/>
        <v>665808</v>
      </c>
      <c r="G111" s="163">
        <f t="shared" si="26"/>
        <v>675524</v>
      </c>
      <c r="H111" s="167">
        <f t="shared" si="27"/>
        <v>105123.92273437115</v>
      </c>
      <c r="I111" s="317">
        <f t="shared" si="28"/>
        <v>105123.92273437115</v>
      </c>
      <c r="J111" s="162">
        <f t="shared" si="18"/>
        <v>0</v>
      </c>
      <c r="K111" s="162"/>
      <c r="L111" s="335"/>
      <c r="M111" s="162">
        <f t="shared" si="20"/>
        <v>0</v>
      </c>
      <c r="N111" s="335"/>
      <c r="O111" s="162">
        <f t="shared" si="22"/>
        <v>0</v>
      </c>
      <c r="P111" s="162">
        <f t="shared" si="23"/>
        <v>0</v>
      </c>
    </row>
    <row r="112" spans="1:16">
      <c r="B112" s="9" t="str">
        <f t="shared" si="24"/>
        <v/>
      </c>
      <c r="C112" s="157">
        <f>IF(D93="","-",+C111+1)</f>
        <v>2022</v>
      </c>
      <c r="D112" s="158">
        <f>IF(F111+SUM(E$99:E111)=D$92,F111,D$92-SUM(E$99:E111))</f>
        <v>665808</v>
      </c>
      <c r="E112" s="165">
        <f>IF(+J96&lt;F111,J96,D112)</f>
        <v>19432</v>
      </c>
      <c r="F112" s="163">
        <f t="shared" si="25"/>
        <v>646376</v>
      </c>
      <c r="G112" s="163">
        <f t="shared" si="26"/>
        <v>656092</v>
      </c>
      <c r="H112" s="167">
        <f t="shared" si="27"/>
        <v>102658.92453656574</v>
      </c>
      <c r="I112" s="317">
        <f t="shared" si="28"/>
        <v>102658.92453656574</v>
      </c>
      <c r="J112" s="162">
        <f t="shared" si="18"/>
        <v>0</v>
      </c>
      <c r="K112" s="162"/>
      <c r="L112" s="335"/>
      <c r="M112" s="162">
        <f t="shared" si="20"/>
        <v>0</v>
      </c>
      <c r="N112" s="335"/>
      <c r="O112" s="162">
        <f t="shared" si="22"/>
        <v>0</v>
      </c>
      <c r="P112" s="162">
        <f t="shared" si="23"/>
        <v>0</v>
      </c>
    </row>
    <row r="113" spans="2:16">
      <c r="B113" s="9" t="str">
        <f t="shared" si="24"/>
        <v/>
      </c>
      <c r="C113" s="157">
        <f>IF(D93="","-",+C112+1)</f>
        <v>2023</v>
      </c>
      <c r="D113" s="158">
        <f>IF(F112+SUM(E$99:E112)=D$92,F112,D$92-SUM(E$99:E112))</f>
        <v>646376</v>
      </c>
      <c r="E113" s="165">
        <f>IF(+J96&lt;F112,J96,D113)</f>
        <v>19432</v>
      </c>
      <c r="F113" s="163">
        <f t="shared" si="25"/>
        <v>626944</v>
      </c>
      <c r="G113" s="163">
        <f t="shared" si="26"/>
        <v>636660</v>
      </c>
      <c r="H113" s="167">
        <f t="shared" si="27"/>
        <v>100193.92633876033</v>
      </c>
      <c r="I113" s="317">
        <f t="shared" si="28"/>
        <v>100193.92633876033</v>
      </c>
      <c r="J113" s="162">
        <f t="shared" si="18"/>
        <v>0</v>
      </c>
      <c r="K113" s="162"/>
      <c r="L113" s="335"/>
      <c r="M113" s="162">
        <f t="shared" si="20"/>
        <v>0</v>
      </c>
      <c r="N113" s="335"/>
      <c r="O113" s="162">
        <f t="shared" si="22"/>
        <v>0</v>
      </c>
      <c r="P113" s="162">
        <f t="shared" si="23"/>
        <v>0</v>
      </c>
    </row>
    <row r="114" spans="2:16">
      <c r="B114" s="9" t="str">
        <f t="shared" si="24"/>
        <v/>
      </c>
      <c r="C114" s="157">
        <f>IF(D93="","-",+C113+1)</f>
        <v>2024</v>
      </c>
      <c r="D114" s="158">
        <f>IF(F113+SUM(E$99:E113)=D$92,F113,D$92-SUM(E$99:E113))</f>
        <v>626944</v>
      </c>
      <c r="E114" s="165">
        <f>IF(+J96&lt;F113,J96,D114)</f>
        <v>19432</v>
      </c>
      <c r="F114" s="163">
        <f t="shared" si="25"/>
        <v>607512</v>
      </c>
      <c r="G114" s="163">
        <f t="shared" si="26"/>
        <v>617228</v>
      </c>
      <c r="H114" s="167">
        <f t="shared" si="27"/>
        <v>97728.928140954929</v>
      </c>
      <c r="I114" s="317">
        <f t="shared" si="28"/>
        <v>97728.928140954929</v>
      </c>
      <c r="J114" s="162">
        <f t="shared" si="18"/>
        <v>0</v>
      </c>
      <c r="K114" s="162"/>
      <c r="L114" s="335"/>
      <c r="M114" s="162">
        <f t="shared" si="20"/>
        <v>0</v>
      </c>
      <c r="N114" s="335"/>
      <c r="O114" s="162">
        <f t="shared" si="22"/>
        <v>0</v>
      </c>
      <c r="P114" s="162">
        <f t="shared" si="23"/>
        <v>0</v>
      </c>
    </row>
    <row r="115" spans="2:16">
      <c r="B115" s="9" t="str">
        <f t="shared" si="24"/>
        <v/>
      </c>
      <c r="C115" s="157">
        <f>IF(D93="","-",+C114+1)</f>
        <v>2025</v>
      </c>
      <c r="D115" s="158">
        <f>IF(F114+SUM(E$99:E114)=D$92,F114,D$92-SUM(E$99:E114))</f>
        <v>607512</v>
      </c>
      <c r="E115" s="165">
        <f>IF(+J96&lt;F114,J96,D115)</f>
        <v>19432</v>
      </c>
      <c r="F115" s="163">
        <f t="shared" si="25"/>
        <v>588080</v>
      </c>
      <c r="G115" s="163">
        <f t="shared" si="26"/>
        <v>597796</v>
      </c>
      <c r="H115" s="167">
        <f t="shared" si="27"/>
        <v>95263.929943149516</v>
      </c>
      <c r="I115" s="317">
        <f t="shared" si="28"/>
        <v>95263.929943149516</v>
      </c>
      <c r="J115" s="162">
        <f t="shared" si="18"/>
        <v>0</v>
      </c>
      <c r="K115" s="162"/>
      <c r="L115" s="335"/>
      <c r="M115" s="162">
        <f t="shared" si="20"/>
        <v>0</v>
      </c>
      <c r="N115" s="335"/>
      <c r="O115" s="162">
        <f t="shared" si="22"/>
        <v>0</v>
      </c>
      <c r="P115" s="162">
        <f t="shared" si="23"/>
        <v>0</v>
      </c>
    </row>
    <row r="116" spans="2:16">
      <c r="B116" s="9" t="str">
        <f t="shared" si="24"/>
        <v/>
      </c>
      <c r="C116" s="157">
        <f>IF(D93="","-",+C115+1)</f>
        <v>2026</v>
      </c>
      <c r="D116" s="158">
        <f>IF(F115+SUM(E$99:E115)=D$92,F115,D$92-SUM(E$99:E115))</f>
        <v>588080</v>
      </c>
      <c r="E116" s="165">
        <f>IF(+J96&lt;F115,J96,D116)</f>
        <v>19432</v>
      </c>
      <c r="F116" s="163">
        <f t="shared" si="25"/>
        <v>568648</v>
      </c>
      <c r="G116" s="163">
        <f t="shared" si="26"/>
        <v>578364</v>
      </c>
      <c r="H116" s="167">
        <f t="shared" si="27"/>
        <v>92798.931745344104</v>
      </c>
      <c r="I116" s="317">
        <f t="shared" si="28"/>
        <v>92798.931745344104</v>
      </c>
      <c r="J116" s="162">
        <f t="shared" si="18"/>
        <v>0</v>
      </c>
      <c r="K116" s="162"/>
      <c r="L116" s="335"/>
      <c r="M116" s="162">
        <f t="shared" si="20"/>
        <v>0</v>
      </c>
      <c r="N116" s="335"/>
      <c r="O116" s="162">
        <f t="shared" si="22"/>
        <v>0</v>
      </c>
      <c r="P116" s="162">
        <f t="shared" si="23"/>
        <v>0</v>
      </c>
    </row>
    <row r="117" spans="2:16">
      <c r="B117" s="9" t="str">
        <f t="shared" si="24"/>
        <v/>
      </c>
      <c r="C117" s="157">
        <f>IF(D93="","-",+C116+1)</f>
        <v>2027</v>
      </c>
      <c r="D117" s="158">
        <f>IF(F116+SUM(E$99:E116)=D$92,F116,D$92-SUM(E$99:E116))</f>
        <v>568648</v>
      </c>
      <c r="E117" s="165">
        <f>IF(+J96&lt;F116,J96,D117)</f>
        <v>19432</v>
      </c>
      <c r="F117" s="163">
        <f t="shared" si="25"/>
        <v>549216</v>
      </c>
      <c r="G117" s="163">
        <f t="shared" si="26"/>
        <v>558932</v>
      </c>
      <c r="H117" s="167">
        <f t="shared" si="27"/>
        <v>90333.933547538705</v>
      </c>
      <c r="I117" s="317">
        <f t="shared" si="28"/>
        <v>90333.933547538705</v>
      </c>
      <c r="J117" s="162">
        <f t="shared" si="18"/>
        <v>0</v>
      </c>
      <c r="K117" s="162"/>
      <c r="L117" s="335"/>
      <c r="M117" s="162">
        <f t="shared" si="20"/>
        <v>0</v>
      </c>
      <c r="N117" s="335"/>
      <c r="O117" s="162">
        <f t="shared" si="22"/>
        <v>0</v>
      </c>
      <c r="P117" s="162">
        <f t="shared" si="23"/>
        <v>0</v>
      </c>
    </row>
    <row r="118" spans="2:16">
      <c r="B118" s="9" t="str">
        <f t="shared" si="24"/>
        <v/>
      </c>
      <c r="C118" s="157">
        <f>IF(D93="","-",+C117+1)</f>
        <v>2028</v>
      </c>
      <c r="D118" s="158">
        <f>IF(F117+SUM(E$99:E117)=D$92,F117,D$92-SUM(E$99:E117))</f>
        <v>549216</v>
      </c>
      <c r="E118" s="165">
        <f>IF(+J96&lt;F117,J96,D118)</f>
        <v>19432</v>
      </c>
      <c r="F118" s="163">
        <f t="shared" si="25"/>
        <v>529784</v>
      </c>
      <c r="G118" s="163">
        <f t="shared" si="26"/>
        <v>539500</v>
      </c>
      <c r="H118" s="167">
        <f t="shared" si="27"/>
        <v>87868.935349733292</v>
      </c>
      <c r="I118" s="317">
        <f t="shared" si="28"/>
        <v>87868.935349733292</v>
      </c>
      <c r="J118" s="162">
        <f t="shared" si="18"/>
        <v>0</v>
      </c>
      <c r="K118" s="162"/>
      <c r="L118" s="335"/>
      <c r="M118" s="162">
        <f t="shared" si="20"/>
        <v>0</v>
      </c>
      <c r="N118" s="335"/>
      <c r="O118" s="162">
        <f t="shared" si="22"/>
        <v>0</v>
      </c>
      <c r="P118" s="162">
        <f t="shared" si="23"/>
        <v>0</v>
      </c>
    </row>
    <row r="119" spans="2:16">
      <c r="B119" s="9" t="str">
        <f t="shared" si="24"/>
        <v/>
      </c>
      <c r="C119" s="157">
        <f>IF(D93="","-",+C118+1)</f>
        <v>2029</v>
      </c>
      <c r="D119" s="158">
        <f>IF(F118+SUM(E$99:E118)=D$92,F118,D$92-SUM(E$99:E118))</f>
        <v>529784</v>
      </c>
      <c r="E119" s="165">
        <f>IF(+J96&lt;F118,J96,D119)</f>
        <v>19432</v>
      </c>
      <c r="F119" s="163">
        <f t="shared" si="25"/>
        <v>510352</v>
      </c>
      <c r="G119" s="163">
        <f t="shared" si="26"/>
        <v>520068</v>
      </c>
      <c r="H119" s="167">
        <f t="shared" si="27"/>
        <v>85403.937151927894</v>
      </c>
      <c r="I119" s="317">
        <f t="shared" si="28"/>
        <v>85403.937151927894</v>
      </c>
      <c r="J119" s="162">
        <f t="shared" si="18"/>
        <v>0</v>
      </c>
      <c r="K119" s="162"/>
      <c r="L119" s="335"/>
      <c r="M119" s="162">
        <f t="shared" si="20"/>
        <v>0</v>
      </c>
      <c r="N119" s="335"/>
      <c r="O119" s="162">
        <f t="shared" si="22"/>
        <v>0</v>
      </c>
      <c r="P119" s="162">
        <f t="shared" si="23"/>
        <v>0</v>
      </c>
    </row>
    <row r="120" spans="2:16">
      <c r="B120" s="9" t="str">
        <f t="shared" si="24"/>
        <v/>
      </c>
      <c r="C120" s="157">
        <f>IF(D93="","-",+C119+1)</f>
        <v>2030</v>
      </c>
      <c r="D120" s="158">
        <f>IF(F119+SUM(E$99:E119)=D$92,F119,D$92-SUM(E$99:E119))</f>
        <v>510352</v>
      </c>
      <c r="E120" s="165">
        <f>IF(+J96&lt;F119,J96,D120)</f>
        <v>19432</v>
      </c>
      <c r="F120" s="163">
        <f t="shared" si="25"/>
        <v>490920</v>
      </c>
      <c r="G120" s="163">
        <f t="shared" si="26"/>
        <v>500636</v>
      </c>
      <c r="H120" s="167">
        <f t="shared" si="27"/>
        <v>82938.938954122481</v>
      </c>
      <c r="I120" s="317">
        <f t="shared" si="28"/>
        <v>82938.938954122481</v>
      </c>
      <c r="J120" s="162">
        <f t="shared" si="18"/>
        <v>0</v>
      </c>
      <c r="K120" s="162"/>
      <c r="L120" s="335"/>
      <c r="M120" s="162">
        <f t="shared" si="20"/>
        <v>0</v>
      </c>
      <c r="N120" s="335"/>
      <c r="O120" s="162">
        <f t="shared" si="22"/>
        <v>0</v>
      </c>
      <c r="P120" s="162">
        <f t="shared" si="23"/>
        <v>0</v>
      </c>
    </row>
    <row r="121" spans="2:16">
      <c r="B121" s="9" t="str">
        <f t="shared" si="24"/>
        <v/>
      </c>
      <c r="C121" s="157">
        <f>IF(D93="","-",+C120+1)</f>
        <v>2031</v>
      </c>
      <c r="D121" s="158">
        <f>IF(F120+SUM(E$99:E120)=D$92,F120,D$92-SUM(E$99:E120))</f>
        <v>490920</v>
      </c>
      <c r="E121" s="165">
        <f>IF(+J96&lt;F120,J96,D121)</f>
        <v>19432</v>
      </c>
      <c r="F121" s="163">
        <f t="shared" si="25"/>
        <v>471488</v>
      </c>
      <c r="G121" s="163">
        <f t="shared" si="26"/>
        <v>481204</v>
      </c>
      <c r="H121" s="167">
        <f t="shared" si="27"/>
        <v>80473.940756317083</v>
      </c>
      <c r="I121" s="317">
        <f t="shared" si="28"/>
        <v>80473.940756317083</v>
      </c>
      <c r="J121" s="162">
        <f t="shared" si="18"/>
        <v>0</v>
      </c>
      <c r="K121" s="162"/>
      <c r="L121" s="335"/>
      <c r="M121" s="162">
        <f t="shared" si="20"/>
        <v>0</v>
      </c>
      <c r="N121" s="335"/>
      <c r="O121" s="162">
        <f t="shared" si="22"/>
        <v>0</v>
      </c>
      <c r="P121" s="162">
        <f t="shared" si="23"/>
        <v>0</v>
      </c>
    </row>
    <row r="122" spans="2:16">
      <c r="B122" s="9" t="str">
        <f t="shared" si="24"/>
        <v/>
      </c>
      <c r="C122" s="157">
        <f>IF(D93="","-",+C121+1)</f>
        <v>2032</v>
      </c>
      <c r="D122" s="158">
        <f>IF(F121+SUM(E$99:E121)=D$92,F121,D$92-SUM(E$99:E121))</f>
        <v>471488</v>
      </c>
      <c r="E122" s="165">
        <f>IF(+J96&lt;F121,J96,D122)</f>
        <v>19432</v>
      </c>
      <c r="F122" s="163">
        <f t="shared" si="25"/>
        <v>452056</v>
      </c>
      <c r="G122" s="163">
        <f t="shared" si="26"/>
        <v>461772</v>
      </c>
      <c r="H122" s="167">
        <f t="shared" si="27"/>
        <v>78008.942558511655</v>
      </c>
      <c r="I122" s="317">
        <f t="shared" si="28"/>
        <v>78008.942558511655</v>
      </c>
      <c r="J122" s="162">
        <f t="shared" si="18"/>
        <v>0</v>
      </c>
      <c r="K122" s="162"/>
      <c r="L122" s="335"/>
      <c r="M122" s="162">
        <f t="shared" si="20"/>
        <v>0</v>
      </c>
      <c r="N122" s="335"/>
      <c r="O122" s="162">
        <f t="shared" si="22"/>
        <v>0</v>
      </c>
      <c r="P122" s="162">
        <f t="shared" si="23"/>
        <v>0</v>
      </c>
    </row>
    <row r="123" spans="2:16">
      <c r="B123" s="9" t="str">
        <f t="shared" si="24"/>
        <v/>
      </c>
      <c r="C123" s="157">
        <f>IF(D93="","-",+C122+1)</f>
        <v>2033</v>
      </c>
      <c r="D123" s="158">
        <f>IF(F122+SUM(E$99:E122)=D$92,F122,D$92-SUM(E$99:E122))</f>
        <v>452056</v>
      </c>
      <c r="E123" s="165">
        <f>IF(+J96&lt;F122,J96,D123)</f>
        <v>19432</v>
      </c>
      <c r="F123" s="163">
        <f t="shared" si="25"/>
        <v>432624</v>
      </c>
      <c r="G123" s="163">
        <f t="shared" si="26"/>
        <v>442340</v>
      </c>
      <c r="H123" s="167">
        <f t="shared" si="27"/>
        <v>75543.944360706257</v>
      </c>
      <c r="I123" s="317">
        <f t="shared" si="28"/>
        <v>75543.944360706257</v>
      </c>
      <c r="J123" s="162">
        <f t="shared" si="18"/>
        <v>0</v>
      </c>
      <c r="K123" s="162"/>
      <c r="L123" s="335"/>
      <c r="M123" s="162">
        <f t="shared" si="20"/>
        <v>0</v>
      </c>
      <c r="N123" s="335"/>
      <c r="O123" s="162">
        <f t="shared" si="22"/>
        <v>0</v>
      </c>
      <c r="P123" s="162">
        <f t="shared" si="23"/>
        <v>0</v>
      </c>
    </row>
    <row r="124" spans="2:16">
      <c r="B124" s="9" t="str">
        <f t="shared" si="24"/>
        <v/>
      </c>
      <c r="C124" s="157">
        <f>IF(D93="","-",+C123+1)</f>
        <v>2034</v>
      </c>
      <c r="D124" s="158">
        <f>IF(F123+SUM(E$99:E123)=D$92,F123,D$92-SUM(E$99:E123))</f>
        <v>432624</v>
      </c>
      <c r="E124" s="165">
        <f>IF(+J96&lt;F123,J96,D124)</f>
        <v>19432</v>
      </c>
      <c r="F124" s="163">
        <f t="shared" si="25"/>
        <v>413192</v>
      </c>
      <c r="G124" s="163">
        <f t="shared" si="26"/>
        <v>422908</v>
      </c>
      <c r="H124" s="167">
        <f t="shared" si="27"/>
        <v>73078.946162900858</v>
      </c>
      <c r="I124" s="317">
        <f t="shared" si="28"/>
        <v>73078.946162900858</v>
      </c>
      <c r="J124" s="162">
        <f t="shared" si="18"/>
        <v>0</v>
      </c>
      <c r="K124" s="162"/>
      <c r="L124" s="335"/>
      <c r="M124" s="162">
        <f t="shared" si="20"/>
        <v>0</v>
      </c>
      <c r="N124" s="335"/>
      <c r="O124" s="162">
        <f t="shared" si="22"/>
        <v>0</v>
      </c>
      <c r="P124" s="162">
        <f t="shared" si="23"/>
        <v>0</v>
      </c>
    </row>
    <row r="125" spans="2:16">
      <c r="B125" s="9" t="str">
        <f t="shared" si="24"/>
        <v/>
      </c>
      <c r="C125" s="157">
        <f>IF(D93="","-",+C124+1)</f>
        <v>2035</v>
      </c>
      <c r="D125" s="158">
        <f>IF(F124+SUM(E$99:E124)=D$92,F124,D$92-SUM(E$99:E124))</f>
        <v>413192</v>
      </c>
      <c r="E125" s="165">
        <f>IF(+J96&lt;F124,J96,D125)</f>
        <v>19432</v>
      </c>
      <c r="F125" s="163">
        <f t="shared" si="25"/>
        <v>393760</v>
      </c>
      <c r="G125" s="163">
        <f t="shared" si="26"/>
        <v>403476</v>
      </c>
      <c r="H125" s="167">
        <f t="shared" si="27"/>
        <v>70613.947965095445</v>
      </c>
      <c r="I125" s="317">
        <f t="shared" si="28"/>
        <v>70613.947965095445</v>
      </c>
      <c r="J125" s="162">
        <f t="shared" si="18"/>
        <v>0</v>
      </c>
      <c r="K125" s="162"/>
      <c r="L125" s="335"/>
      <c r="M125" s="162">
        <f t="shared" si="20"/>
        <v>0</v>
      </c>
      <c r="N125" s="335"/>
      <c r="O125" s="162">
        <f t="shared" si="22"/>
        <v>0</v>
      </c>
      <c r="P125" s="162">
        <f t="shared" si="23"/>
        <v>0</v>
      </c>
    </row>
    <row r="126" spans="2:16">
      <c r="B126" s="9" t="str">
        <f t="shared" si="24"/>
        <v/>
      </c>
      <c r="C126" s="157">
        <f>IF(D93="","-",+C125+1)</f>
        <v>2036</v>
      </c>
      <c r="D126" s="158">
        <f>IF(F125+SUM(E$99:E125)=D$92,F125,D$92-SUM(E$99:E125))</f>
        <v>393760</v>
      </c>
      <c r="E126" s="165">
        <f>IF(+J96&lt;F125,J96,D126)</f>
        <v>19432</v>
      </c>
      <c r="F126" s="163">
        <f t="shared" si="25"/>
        <v>374328</v>
      </c>
      <c r="G126" s="163">
        <f t="shared" si="26"/>
        <v>384044</v>
      </c>
      <c r="H126" s="167">
        <f t="shared" si="27"/>
        <v>68148.949767290032</v>
      </c>
      <c r="I126" s="317">
        <f t="shared" si="28"/>
        <v>68148.949767290032</v>
      </c>
      <c r="J126" s="162">
        <f t="shared" si="18"/>
        <v>0</v>
      </c>
      <c r="K126" s="162"/>
      <c r="L126" s="335"/>
      <c r="M126" s="162">
        <f t="shared" si="20"/>
        <v>0</v>
      </c>
      <c r="N126" s="335"/>
      <c r="O126" s="162">
        <f t="shared" si="22"/>
        <v>0</v>
      </c>
      <c r="P126" s="162">
        <f t="shared" si="23"/>
        <v>0</v>
      </c>
    </row>
    <row r="127" spans="2:16">
      <c r="B127" s="9" t="str">
        <f t="shared" si="24"/>
        <v/>
      </c>
      <c r="C127" s="157">
        <f>IF(D93="","-",+C126+1)</f>
        <v>2037</v>
      </c>
      <c r="D127" s="158">
        <f>IF(F126+SUM(E$99:E126)=D$92,F126,D$92-SUM(E$99:E126))</f>
        <v>374328</v>
      </c>
      <c r="E127" s="165">
        <f>IF(+J96&lt;F126,J96,D127)</f>
        <v>19432</v>
      </c>
      <c r="F127" s="163">
        <f t="shared" si="25"/>
        <v>354896</v>
      </c>
      <c r="G127" s="163">
        <f t="shared" si="26"/>
        <v>364612</v>
      </c>
      <c r="H127" s="167">
        <f t="shared" si="27"/>
        <v>65683.951569484634</v>
      </c>
      <c r="I127" s="317">
        <f t="shared" si="28"/>
        <v>65683.951569484634</v>
      </c>
      <c r="J127" s="162">
        <f t="shared" si="18"/>
        <v>0</v>
      </c>
      <c r="K127" s="162"/>
      <c r="L127" s="335"/>
      <c r="M127" s="162">
        <f t="shared" si="20"/>
        <v>0</v>
      </c>
      <c r="N127" s="335"/>
      <c r="O127" s="162">
        <f t="shared" si="22"/>
        <v>0</v>
      </c>
      <c r="P127" s="162">
        <f t="shared" si="23"/>
        <v>0</v>
      </c>
    </row>
    <row r="128" spans="2:16">
      <c r="B128" s="9" t="str">
        <f t="shared" si="24"/>
        <v/>
      </c>
      <c r="C128" s="157">
        <f>IF(D93="","-",+C127+1)</f>
        <v>2038</v>
      </c>
      <c r="D128" s="158">
        <f>IF(F127+SUM(E$99:E127)=D$92,F127,D$92-SUM(E$99:E127))</f>
        <v>354896</v>
      </c>
      <c r="E128" s="165">
        <f>IF(+J96&lt;F127,J96,D128)</f>
        <v>19432</v>
      </c>
      <c r="F128" s="163">
        <f t="shared" si="25"/>
        <v>335464</v>
      </c>
      <c r="G128" s="163">
        <f t="shared" si="26"/>
        <v>345180</v>
      </c>
      <c r="H128" s="167">
        <f t="shared" si="27"/>
        <v>63218.953371679221</v>
      </c>
      <c r="I128" s="317">
        <f t="shared" si="28"/>
        <v>63218.953371679221</v>
      </c>
      <c r="J128" s="162">
        <f t="shared" si="18"/>
        <v>0</v>
      </c>
      <c r="K128" s="162"/>
      <c r="L128" s="335"/>
      <c r="M128" s="162">
        <f t="shared" si="20"/>
        <v>0</v>
      </c>
      <c r="N128" s="335"/>
      <c r="O128" s="162">
        <f t="shared" si="22"/>
        <v>0</v>
      </c>
      <c r="P128" s="162">
        <f t="shared" si="23"/>
        <v>0</v>
      </c>
    </row>
    <row r="129" spans="2:16">
      <c r="B129" s="9" t="str">
        <f t="shared" si="24"/>
        <v/>
      </c>
      <c r="C129" s="157">
        <f>IF(D93="","-",+C128+1)</f>
        <v>2039</v>
      </c>
      <c r="D129" s="158">
        <f>IF(F128+SUM(E$99:E128)=D$92,F128,D$92-SUM(E$99:E128))</f>
        <v>335464</v>
      </c>
      <c r="E129" s="165">
        <f>IF(+J96&lt;F128,J96,D129)</f>
        <v>19432</v>
      </c>
      <c r="F129" s="163">
        <f t="shared" si="25"/>
        <v>316032</v>
      </c>
      <c r="G129" s="163">
        <f t="shared" si="26"/>
        <v>325748</v>
      </c>
      <c r="H129" s="167">
        <f t="shared" si="27"/>
        <v>60753.955173873808</v>
      </c>
      <c r="I129" s="317">
        <f t="shared" si="28"/>
        <v>60753.955173873808</v>
      </c>
      <c r="J129" s="162">
        <f t="shared" si="18"/>
        <v>0</v>
      </c>
      <c r="K129" s="162"/>
      <c r="L129" s="335"/>
      <c r="M129" s="162">
        <f t="shared" si="20"/>
        <v>0</v>
      </c>
      <c r="N129" s="335"/>
      <c r="O129" s="162">
        <f t="shared" si="22"/>
        <v>0</v>
      </c>
      <c r="P129" s="162">
        <f t="shared" si="23"/>
        <v>0</v>
      </c>
    </row>
    <row r="130" spans="2:16">
      <c r="B130" s="9" t="str">
        <f t="shared" si="24"/>
        <v/>
      </c>
      <c r="C130" s="157">
        <f>IF(D93="","-",+C129+1)</f>
        <v>2040</v>
      </c>
      <c r="D130" s="158">
        <f>IF(F129+SUM(E$99:E129)=D$92,F129,D$92-SUM(E$99:E129))</f>
        <v>316032</v>
      </c>
      <c r="E130" s="165">
        <f>IF(+J96&lt;F129,J96,D130)</f>
        <v>19432</v>
      </c>
      <c r="F130" s="163">
        <f t="shared" si="25"/>
        <v>296600</v>
      </c>
      <c r="G130" s="163">
        <f t="shared" si="26"/>
        <v>306316</v>
      </c>
      <c r="H130" s="167">
        <f t="shared" si="27"/>
        <v>58288.956976068403</v>
      </c>
      <c r="I130" s="317">
        <f t="shared" si="28"/>
        <v>58288.956976068403</v>
      </c>
      <c r="J130" s="162">
        <f t="shared" si="18"/>
        <v>0</v>
      </c>
      <c r="K130" s="162"/>
      <c r="L130" s="335"/>
      <c r="M130" s="162">
        <f t="shared" si="20"/>
        <v>0</v>
      </c>
      <c r="N130" s="335"/>
      <c r="O130" s="162">
        <f t="shared" si="22"/>
        <v>0</v>
      </c>
      <c r="P130" s="162">
        <f t="shared" si="23"/>
        <v>0</v>
      </c>
    </row>
    <row r="131" spans="2:16">
      <c r="B131" s="9" t="str">
        <f t="shared" si="24"/>
        <v/>
      </c>
      <c r="C131" s="157">
        <f>IF(D93="","-",+C130+1)</f>
        <v>2041</v>
      </c>
      <c r="D131" s="158">
        <f>IF(F130+SUM(E$99:E130)=D$92,F130,D$92-SUM(E$99:E130))</f>
        <v>296600</v>
      </c>
      <c r="E131" s="165">
        <f>IF(+J96&lt;F130,J96,D131)</f>
        <v>19432</v>
      </c>
      <c r="F131" s="163">
        <f t="shared" ref="F131:F154" si="29">+D131-E131</f>
        <v>277168</v>
      </c>
      <c r="G131" s="163">
        <f t="shared" ref="G131:G154" si="30">+(F131+D131)/2</f>
        <v>286884</v>
      </c>
      <c r="H131" s="167">
        <f t="shared" si="27"/>
        <v>55823.958778262997</v>
      </c>
      <c r="I131" s="317">
        <f t="shared" si="28"/>
        <v>55823.958778262997</v>
      </c>
      <c r="J131" s="162">
        <f t="shared" ref="J131:J154" si="31">+I131-H131</f>
        <v>0</v>
      </c>
      <c r="K131" s="162"/>
      <c r="L131" s="335"/>
      <c r="M131" s="162">
        <f t="shared" ref="M131:M154" si="32">IF(L131&lt;&gt;0,+H131-L131,0)</f>
        <v>0</v>
      </c>
      <c r="N131" s="335"/>
      <c r="O131" s="162">
        <f t="shared" ref="O131:O154" si="33">IF(N131&lt;&gt;0,+I131-N131,0)</f>
        <v>0</v>
      </c>
      <c r="P131" s="162">
        <f t="shared" ref="P131:P154" si="34">+O131-M131</f>
        <v>0</v>
      </c>
    </row>
    <row r="132" spans="2:16">
      <c r="B132" s="9" t="str">
        <f t="shared" si="24"/>
        <v/>
      </c>
      <c r="C132" s="157">
        <f>IF(D93="","-",+C131+1)</f>
        <v>2042</v>
      </c>
      <c r="D132" s="158">
        <f>IF(F131+SUM(E$99:E131)=D$92,F131,D$92-SUM(E$99:E131))</f>
        <v>277168</v>
      </c>
      <c r="E132" s="165">
        <f>IF(+J96&lt;F131,J96,D132)</f>
        <v>19432</v>
      </c>
      <c r="F132" s="163">
        <f t="shared" si="29"/>
        <v>257736</v>
      </c>
      <c r="G132" s="163">
        <f t="shared" si="30"/>
        <v>267452</v>
      </c>
      <c r="H132" s="167">
        <f t="shared" ref="H132:H154" si="35">+J$94*G132+E132</f>
        <v>53358.960580457591</v>
      </c>
      <c r="I132" s="317">
        <f t="shared" ref="I132:I154" si="36">+J$95*G132+E132</f>
        <v>53358.960580457591</v>
      </c>
      <c r="J132" s="162">
        <f t="shared" si="31"/>
        <v>0</v>
      </c>
      <c r="K132" s="162"/>
      <c r="L132" s="335"/>
      <c r="M132" s="162">
        <f t="shared" si="32"/>
        <v>0</v>
      </c>
      <c r="N132" s="335"/>
      <c r="O132" s="162">
        <f t="shared" si="33"/>
        <v>0</v>
      </c>
      <c r="P132" s="162">
        <f t="shared" si="34"/>
        <v>0</v>
      </c>
    </row>
    <row r="133" spans="2:16">
      <c r="B133" s="9" t="str">
        <f t="shared" si="24"/>
        <v/>
      </c>
      <c r="C133" s="157">
        <f>IF(D93="","-",+C132+1)</f>
        <v>2043</v>
      </c>
      <c r="D133" s="158">
        <f>IF(F132+SUM(E$99:E132)=D$92,F132,D$92-SUM(E$99:E132))</f>
        <v>257736</v>
      </c>
      <c r="E133" s="165">
        <f>IF(+J96&lt;F132,J96,D133)</f>
        <v>19432</v>
      </c>
      <c r="F133" s="163">
        <f t="shared" si="29"/>
        <v>238304</v>
      </c>
      <c r="G133" s="163">
        <f t="shared" si="30"/>
        <v>248020</v>
      </c>
      <c r="H133" s="167">
        <f t="shared" si="35"/>
        <v>50893.962382652186</v>
      </c>
      <c r="I133" s="317">
        <f t="shared" si="36"/>
        <v>50893.962382652186</v>
      </c>
      <c r="J133" s="162">
        <f t="shared" si="31"/>
        <v>0</v>
      </c>
      <c r="K133" s="162"/>
      <c r="L133" s="335"/>
      <c r="M133" s="162">
        <f t="shared" si="32"/>
        <v>0</v>
      </c>
      <c r="N133" s="335"/>
      <c r="O133" s="162">
        <f t="shared" si="33"/>
        <v>0</v>
      </c>
      <c r="P133" s="162">
        <f t="shared" si="34"/>
        <v>0</v>
      </c>
    </row>
    <row r="134" spans="2:16">
      <c r="B134" s="9" t="str">
        <f t="shared" si="24"/>
        <v/>
      </c>
      <c r="C134" s="157">
        <f>IF(D93="","-",+C133+1)</f>
        <v>2044</v>
      </c>
      <c r="D134" s="158">
        <f>IF(F133+SUM(E$99:E133)=D$92,F133,D$92-SUM(E$99:E133))</f>
        <v>238304</v>
      </c>
      <c r="E134" s="165">
        <f>IF(+J96&lt;F133,J96,D134)</f>
        <v>19432</v>
      </c>
      <c r="F134" s="163">
        <f t="shared" si="29"/>
        <v>218872</v>
      </c>
      <c r="G134" s="163">
        <f t="shared" si="30"/>
        <v>228588</v>
      </c>
      <c r="H134" s="167">
        <f t="shared" si="35"/>
        <v>48428.964184846773</v>
      </c>
      <c r="I134" s="317">
        <f t="shared" si="36"/>
        <v>48428.964184846773</v>
      </c>
      <c r="J134" s="162">
        <f t="shared" si="31"/>
        <v>0</v>
      </c>
      <c r="K134" s="162"/>
      <c r="L134" s="335"/>
      <c r="M134" s="162">
        <f t="shared" si="32"/>
        <v>0</v>
      </c>
      <c r="N134" s="335"/>
      <c r="O134" s="162">
        <f t="shared" si="33"/>
        <v>0</v>
      </c>
      <c r="P134" s="162">
        <f t="shared" si="34"/>
        <v>0</v>
      </c>
    </row>
    <row r="135" spans="2:16">
      <c r="B135" s="9" t="str">
        <f t="shared" si="24"/>
        <v/>
      </c>
      <c r="C135" s="157">
        <f>IF(D93="","-",+C134+1)</f>
        <v>2045</v>
      </c>
      <c r="D135" s="158">
        <f>IF(F134+SUM(E$99:E134)=D$92,F134,D$92-SUM(E$99:E134))</f>
        <v>218872</v>
      </c>
      <c r="E135" s="165">
        <f>IF(+J96&lt;F134,J96,D135)</f>
        <v>19432</v>
      </c>
      <c r="F135" s="163">
        <f t="shared" si="29"/>
        <v>199440</v>
      </c>
      <c r="G135" s="163">
        <f t="shared" si="30"/>
        <v>209156</v>
      </c>
      <c r="H135" s="167">
        <f t="shared" si="35"/>
        <v>45963.965987041367</v>
      </c>
      <c r="I135" s="317">
        <f t="shared" si="36"/>
        <v>45963.965987041367</v>
      </c>
      <c r="J135" s="162">
        <f t="shared" si="31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4"/>
        <v>0</v>
      </c>
    </row>
    <row r="136" spans="2:16">
      <c r="B136" s="9" t="str">
        <f t="shared" si="24"/>
        <v/>
      </c>
      <c r="C136" s="157">
        <f>IF(D93="","-",+C135+1)</f>
        <v>2046</v>
      </c>
      <c r="D136" s="158">
        <f>IF(F135+SUM(E$99:E135)=D$92,F135,D$92-SUM(E$99:E135))</f>
        <v>199440</v>
      </c>
      <c r="E136" s="165">
        <f>IF(+J96&lt;F135,J96,D136)</f>
        <v>19432</v>
      </c>
      <c r="F136" s="163">
        <f t="shared" si="29"/>
        <v>180008</v>
      </c>
      <c r="G136" s="163">
        <f t="shared" si="30"/>
        <v>189724</v>
      </c>
      <c r="H136" s="167">
        <f t="shared" si="35"/>
        <v>43498.967789235961</v>
      </c>
      <c r="I136" s="317">
        <f t="shared" si="36"/>
        <v>43498.967789235961</v>
      </c>
      <c r="J136" s="162">
        <f t="shared" si="31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4"/>
        <v>0</v>
      </c>
    </row>
    <row r="137" spans="2:16">
      <c r="B137" s="9" t="str">
        <f t="shared" si="24"/>
        <v/>
      </c>
      <c r="C137" s="157">
        <f>IF(D93="","-",+C136+1)</f>
        <v>2047</v>
      </c>
      <c r="D137" s="158">
        <f>IF(F136+SUM(E$99:E136)=D$92,F136,D$92-SUM(E$99:E136))</f>
        <v>180008</v>
      </c>
      <c r="E137" s="165">
        <f>IF(+J96&lt;F136,J96,D137)</f>
        <v>19432</v>
      </c>
      <c r="F137" s="163">
        <f t="shared" si="29"/>
        <v>160576</v>
      </c>
      <c r="G137" s="163">
        <f t="shared" si="30"/>
        <v>170292</v>
      </c>
      <c r="H137" s="167">
        <f t="shared" si="35"/>
        <v>41033.969591430548</v>
      </c>
      <c r="I137" s="317">
        <f t="shared" si="36"/>
        <v>41033.969591430548</v>
      </c>
      <c r="J137" s="162">
        <f t="shared" si="31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4"/>
        <v>0</v>
      </c>
    </row>
    <row r="138" spans="2:16">
      <c r="B138" s="9" t="str">
        <f t="shared" si="24"/>
        <v/>
      </c>
      <c r="C138" s="157">
        <f>IF(D93="","-",+C137+1)</f>
        <v>2048</v>
      </c>
      <c r="D138" s="158">
        <f>IF(F137+SUM(E$99:E137)=D$92,F137,D$92-SUM(E$99:E137))</f>
        <v>160576</v>
      </c>
      <c r="E138" s="165">
        <f>IF(+J96&lt;F137,J96,D138)</f>
        <v>19432</v>
      </c>
      <c r="F138" s="163">
        <f t="shared" si="29"/>
        <v>141144</v>
      </c>
      <c r="G138" s="163">
        <f t="shared" si="30"/>
        <v>150860</v>
      </c>
      <c r="H138" s="167">
        <f t="shared" si="35"/>
        <v>38568.971393625143</v>
      </c>
      <c r="I138" s="317">
        <f t="shared" si="36"/>
        <v>38568.971393625143</v>
      </c>
      <c r="J138" s="162">
        <f t="shared" si="31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4"/>
        <v>0</v>
      </c>
    </row>
    <row r="139" spans="2:16">
      <c r="B139" s="9" t="str">
        <f t="shared" si="24"/>
        <v/>
      </c>
      <c r="C139" s="157">
        <f>IF(D93="","-",+C138+1)</f>
        <v>2049</v>
      </c>
      <c r="D139" s="158">
        <f>IF(F138+SUM(E$99:E138)=D$92,F138,D$92-SUM(E$99:E138))</f>
        <v>141144</v>
      </c>
      <c r="E139" s="165">
        <f>IF(+J96&lt;F138,J96,D139)</f>
        <v>19432</v>
      </c>
      <c r="F139" s="163">
        <f t="shared" si="29"/>
        <v>121712</v>
      </c>
      <c r="G139" s="163">
        <f t="shared" si="30"/>
        <v>131428</v>
      </c>
      <c r="H139" s="167">
        <f t="shared" si="35"/>
        <v>36103.973195819737</v>
      </c>
      <c r="I139" s="317">
        <f t="shared" si="36"/>
        <v>36103.973195819737</v>
      </c>
      <c r="J139" s="162">
        <f t="shared" si="31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4"/>
        <v>0</v>
      </c>
    </row>
    <row r="140" spans="2:16">
      <c r="B140" s="9" t="str">
        <f t="shared" si="24"/>
        <v/>
      </c>
      <c r="C140" s="157">
        <f>IF(D93="","-",+C139+1)</f>
        <v>2050</v>
      </c>
      <c r="D140" s="158">
        <f>IF(F139+SUM(E$99:E139)=D$92,F139,D$92-SUM(E$99:E139))</f>
        <v>121712</v>
      </c>
      <c r="E140" s="165">
        <f>IF(+J96&lt;F139,J96,D140)</f>
        <v>19432</v>
      </c>
      <c r="F140" s="163">
        <f t="shared" si="29"/>
        <v>102280</v>
      </c>
      <c r="G140" s="163">
        <f t="shared" si="30"/>
        <v>111996</v>
      </c>
      <c r="H140" s="167">
        <f t="shared" si="35"/>
        <v>33638.974998014324</v>
      </c>
      <c r="I140" s="317">
        <f t="shared" si="36"/>
        <v>33638.974998014324</v>
      </c>
      <c r="J140" s="162">
        <f t="shared" si="31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4"/>
        <v>0</v>
      </c>
    </row>
    <row r="141" spans="2:16">
      <c r="B141" s="9" t="str">
        <f t="shared" si="24"/>
        <v/>
      </c>
      <c r="C141" s="157">
        <f>IF(D93="","-",+C140+1)</f>
        <v>2051</v>
      </c>
      <c r="D141" s="158">
        <f>IF(F140+SUM(E$99:E140)=D$92,F140,D$92-SUM(E$99:E140))</f>
        <v>102280</v>
      </c>
      <c r="E141" s="165">
        <f>IF(+J96&lt;F140,J96,D141)</f>
        <v>19432</v>
      </c>
      <c r="F141" s="163">
        <f t="shared" si="29"/>
        <v>82848</v>
      </c>
      <c r="G141" s="163">
        <f t="shared" si="30"/>
        <v>92564</v>
      </c>
      <c r="H141" s="167">
        <f t="shared" si="35"/>
        <v>31173.976800208919</v>
      </c>
      <c r="I141" s="317">
        <f t="shared" si="36"/>
        <v>31173.976800208919</v>
      </c>
      <c r="J141" s="162">
        <f t="shared" si="31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4"/>
        <v>0</v>
      </c>
    </row>
    <row r="142" spans="2:16">
      <c r="B142" s="9" t="str">
        <f t="shared" si="24"/>
        <v/>
      </c>
      <c r="C142" s="157">
        <f>IF(D93="","-",+C141+1)</f>
        <v>2052</v>
      </c>
      <c r="D142" s="158">
        <f>IF(F141+SUM(E$99:E141)=D$92,F141,D$92-SUM(E$99:E141))</f>
        <v>82848</v>
      </c>
      <c r="E142" s="165">
        <f>IF(+J96&lt;F141,J96,D142)</f>
        <v>19432</v>
      </c>
      <c r="F142" s="163">
        <f t="shared" si="29"/>
        <v>63416</v>
      </c>
      <c r="G142" s="163">
        <f t="shared" si="30"/>
        <v>73132</v>
      </c>
      <c r="H142" s="167">
        <f t="shared" si="35"/>
        <v>28708.978602403513</v>
      </c>
      <c r="I142" s="317">
        <f t="shared" si="36"/>
        <v>28708.978602403513</v>
      </c>
      <c r="J142" s="162">
        <f t="shared" si="31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4"/>
        <v>0</v>
      </c>
    </row>
    <row r="143" spans="2:16">
      <c r="B143" s="9" t="str">
        <f t="shared" si="24"/>
        <v/>
      </c>
      <c r="C143" s="157">
        <f>IF(D93="","-",+C142+1)</f>
        <v>2053</v>
      </c>
      <c r="D143" s="158">
        <f>IF(F142+SUM(E$99:E142)=D$92,F142,D$92-SUM(E$99:E142))</f>
        <v>63416</v>
      </c>
      <c r="E143" s="165">
        <f>IF(+J96&lt;F142,J96,D143)</f>
        <v>19432</v>
      </c>
      <c r="F143" s="163">
        <f t="shared" si="29"/>
        <v>43984</v>
      </c>
      <c r="G143" s="163">
        <f t="shared" si="30"/>
        <v>53700</v>
      </c>
      <c r="H143" s="167">
        <f t="shared" si="35"/>
        <v>26243.980404598107</v>
      </c>
      <c r="I143" s="317">
        <f t="shared" si="36"/>
        <v>26243.980404598107</v>
      </c>
      <c r="J143" s="162">
        <f t="shared" si="31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4"/>
        <v>0</v>
      </c>
    </row>
    <row r="144" spans="2:16">
      <c r="B144" s="9" t="str">
        <f t="shared" si="24"/>
        <v/>
      </c>
      <c r="C144" s="157">
        <f>IF(D93="","-",+C143+1)</f>
        <v>2054</v>
      </c>
      <c r="D144" s="158">
        <f>IF(F143+SUM(E$99:E143)=D$92,F143,D$92-SUM(E$99:E143))</f>
        <v>43984</v>
      </c>
      <c r="E144" s="165">
        <f>IF(+J96&lt;F143,J96,D144)</f>
        <v>19432</v>
      </c>
      <c r="F144" s="163">
        <f t="shared" si="29"/>
        <v>24552</v>
      </c>
      <c r="G144" s="163">
        <f t="shared" si="30"/>
        <v>34268</v>
      </c>
      <c r="H144" s="167">
        <f t="shared" si="35"/>
        <v>23778.982206792698</v>
      </c>
      <c r="I144" s="317">
        <f t="shared" si="36"/>
        <v>23778.982206792698</v>
      </c>
      <c r="J144" s="162">
        <f t="shared" si="31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4"/>
        <v>0</v>
      </c>
    </row>
    <row r="145" spans="2:16">
      <c r="B145" s="9" t="str">
        <f t="shared" si="24"/>
        <v/>
      </c>
      <c r="C145" s="157">
        <f>IF(D93="","-",+C144+1)</f>
        <v>2055</v>
      </c>
      <c r="D145" s="158">
        <f>IF(F144+SUM(E$99:E144)=D$92,F144,D$92-SUM(E$99:E144))</f>
        <v>24552</v>
      </c>
      <c r="E145" s="165">
        <f>IF(+J96&lt;F144,J96,D145)</f>
        <v>19432</v>
      </c>
      <c r="F145" s="163">
        <f t="shared" si="29"/>
        <v>5120</v>
      </c>
      <c r="G145" s="163">
        <f t="shared" si="30"/>
        <v>14836</v>
      </c>
      <c r="H145" s="167">
        <f t="shared" si="35"/>
        <v>21313.984008987289</v>
      </c>
      <c r="I145" s="317">
        <f t="shared" si="36"/>
        <v>21313.984008987289</v>
      </c>
      <c r="J145" s="162">
        <f t="shared" si="31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4"/>
        <v>0</v>
      </c>
    </row>
    <row r="146" spans="2:16">
      <c r="B146" s="9" t="str">
        <f t="shared" si="24"/>
        <v/>
      </c>
      <c r="C146" s="157">
        <f>IF(D93="","-",+C145+1)</f>
        <v>2056</v>
      </c>
      <c r="D146" s="158">
        <f>IF(F145+SUM(E$99:E145)=D$92,F145,D$92-SUM(E$99:E145))</f>
        <v>5120</v>
      </c>
      <c r="E146" s="165">
        <f>IF(+J96&lt;F145,J96,D146)</f>
        <v>5120</v>
      </c>
      <c r="F146" s="163">
        <f t="shared" si="29"/>
        <v>0</v>
      </c>
      <c r="G146" s="163">
        <f t="shared" si="30"/>
        <v>2560</v>
      </c>
      <c r="H146" s="167">
        <f t="shared" si="35"/>
        <v>5444.7424550422929</v>
      </c>
      <c r="I146" s="317">
        <f t="shared" si="36"/>
        <v>5444.7424550422929</v>
      </c>
      <c r="J146" s="162">
        <f t="shared" si="31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4"/>
        <v>0</v>
      </c>
    </row>
    <row r="147" spans="2:16">
      <c r="B147" s="9" t="str">
        <f t="shared" si="24"/>
        <v/>
      </c>
      <c r="C147" s="157">
        <f>IF(D93="","-",+C146+1)</f>
        <v>2057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9"/>
        <v>0</v>
      </c>
      <c r="G147" s="163">
        <f t="shared" si="30"/>
        <v>0</v>
      </c>
      <c r="H147" s="167">
        <f t="shared" si="35"/>
        <v>0</v>
      </c>
      <c r="I147" s="317">
        <f t="shared" si="36"/>
        <v>0</v>
      </c>
      <c r="J147" s="162">
        <f t="shared" si="31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4"/>
        <v>0</v>
      </c>
    </row>
    <row r="148" spans="2:16">
      <c r="B148" s="9" t="str">
        <f t="shared" si="24"/>
        <v/>
      </c>
      <c r="C148" s="157">
        <f>IF(D93="","-",+C147+1)</f>
        <v>2058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9"/>
        <v>0</v>
      </c>
      <c r="G148" s="163">
        <f t="shared" si="30"/>
        <v>0</v>
      </c>
      <c r="H148" s="167">
        <f t="shared" si="35"/>
        <v>0</v>
      </c>
      <c r="I148" s="317">
        <f t="shared" si="36"/>
        <v>0</v>
      </c>
      <c r="J148" s="162">
        <f t="shared" si="31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4"/>
        <v>0</v>
      </c>
    </row>
    <row r="149" spans="2:16">
      <c r="B149" s="9" t="str">
        <f t="shared" si="24"/>
        <v/>
      </c>
      <c r="C149" s="157">
        <f>IF(D93="","-",+C148+1)</f>
        <v>2059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9"/>
        <v>0</v>
      </c>
      <c r="G149" s="163">
        <f t="shared" si="30"/>
        <v>0</v>
      </c>
      <c r="H149" s="167">
        <f t="shared" si="35"/>
        <v>0</v>
      </c>
      <c r="I149" s="317">
        <f t="shared" si="36"/>
        <v>0</v>
      </c>
      <c r="J149" s="162">
        <f t="shared" si="31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4"/>
        <v>0</v>
      </c>
    </row>
    <row r="150" spans="2:16">
      <c r="B150" s="9" t="str">
        <f t="shared" si="24"/>
        <v/>
      </c>
      <c r="C150" s="157">
        <f>IF(D93="","-",+C149+1)</f>
        <v>2060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9"/>
        <v>0</v>
      </c>
      <c r="G150" s="163">
        <f t="shared" si="30"/>
        <v>0</v>
      </c>
      <c r="H150" s="167">
        <f t="shared" si="35"/>
        <v>0</v>
      </c>
      <c r="I150" s="317">
        <f t="shared" si="36"/>
        <v>0</v>
      </c>
      <c r="J150" s="162">
        <f t="shared" si="31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4"/>
        <v>0</v>
      </c>
    </row>
    <row r="151" spans="2:16">
      <c r="B151" s="9" t="str">
        <f t="shared" si="24"/>
        <v/>
      </c>
      <c r="C151" s="157">
        <f>IF(D93="","-",+C150+1)</f>
        <v>2061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9"/>
        <v>0</v>
      </c>
      <c r="G151" s="163">
        <f t="shared" si="30"/>
        <v>0</v>
      </c>
      <c r="H151" s="167">
        <f t="shared" si="35"/>
        <v>0</v>
      </c>
      <c r="I151" s="317">
        <f t="shared" si="36"/>
        <v>0</v>
      </c>
      <c r="J151" s="162">
        <f t="shared" si="31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4"/>
        <v>0</v>
      </c>
    </row>
    <row r="152" spans="2:16">
      <c r="B152" s="9" t="str">
        <f t="shared" si="24"/>
        <v/>
      </c>
      <c r="C152" s="157">
        <f>IF(D93="","-",+C151+1)</f>
        <v>2062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9"/>
        <v>0</v>
      </c>
      <c r="G152" s="163">
        <f t="shared" si="30"/>
        <v>0</v>
      </c>
      <c r="H152" s="167">
        <f t="shared" si="35"/>
        <v>0</v>
      </c>
      <c r="I152" s="317">
        <f t="shared" si="36"/>
        <v>0</v>
      </c>
      <c r="J152" s="162">
        <f t="shared" si="31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4"/>
        <v>0</v>
      </c>
    </row>
    <row r="153" spans="2:16">
      <c r="B153" s="9" t="str">
        <f t="shared" si="24"/>
        <v/>
      </c>
      <c r="C153" s="157">
        <f>IF(D93="","-",+C152+1)</f>
        <v>2063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9"/>
        <v>0</v>
      </c>
      <c r="G153" s="163">
        <f t="shared" si="30"/>
        <v>0</v>
      </c>
      <c r="H153" s="167">
        <f t="shared" si="35"/>
        <v>0</v>
      </c>
      <c r="I153" s="317">
        <f t="shared" si="36"/>
        <v>0</v>
      </c>
      <c r="J153" s="162">
        <f t="shared" si="31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4"/>
        <v>0</v>
      </c>
    </row>
    <row r="154" spans="2:16" ht="13.5" thickBot="1">
      <c r="B154" s="9" t="str">
        <f t="shared" si="24"/>
        <v/>
      </c>
      <c r="C154" s="168">
        <f>IF(D93="","-",+C153+1)</f>
        <v>2064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9"/>
        <v>0</v>
      </c>
      <c r="G154" s="169">
        <f t="shared" si="30"/>
        <v>0</v>
      </c>
      <c r="H154" s="171">
        <f t="shared" si="35"/>
        <v>0</v>
      </c>
      <c r="I154" s="318">
        <f t="shared" si="36"/>
        <v>0</v>
      </c>
      <c r="J154" s="173">
        <f t="shared" si="31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4"/>
        <v>0</v>
      </c>
    </row>
    <row r="155" spans="2:16">
      <c r="C155" s="158" t="s">
        <v>72</v>
      </c>
      <c r="D155" s="115"/>
      <c r="E155" s="115">
        <f>SUM(E99:E154)</f>
        <v>893858</v>
      </c>
      <c r="F155" s="115"/>
      <c r="G155" s="115"/>
      <c r="H155" s="115">
        <f>SUM(H99:H154)</f>
        <v>3681338.5737540475</v>
      </c>
      <c r="I155" s="115">
        <f>SUM(I99:I154)</f>
        <v>3681338.5737540475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95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102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73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74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46" t="s">
        <v>140</v>
      </c>
    </row>
  </sheetData>
  <phoneticPr fontId="0" type="noConversion"/>
  <conditionalFormatting sqref="C17:C72">
    <cfRule type="cellIs" dxfId="58" priority="1" stopIfTrue="1" operator="equal">
      <formula>$I$10</formula>
    </cfRule>
  </conditionalFormatting>
  <conditionalFormatting sqref="C99:C154">
    <cfRule type="cellIs" dxfId="57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/>
  <dimension ref="A1:P162"/>
  <sheetViews>
    <sheetView view="pageBreakPreview" zoomScale="75" zoomScaleNormal="10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2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546224.37932435388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546224.37932435388</v>
      </c>
      <c r="O6" s="1"/>
      <c r="P6" s="1"/>
    </row>
    <row r="7" spans="1:16" ht="13.5" thickBot="1">
      <c r="C7" s="127" t="s">
        <v>41</v>
      </c>
      <c r="D7" s="343" t="s">
        <v>202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75</v>
      </c>
      <c r="E9" s="428" t="s">
        <v>302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4688896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2009</v>
      </c>
      <c r="E11" s="141" t="s">
        <v>49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5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117222.39999999999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C17" s="157">
        <f>IF(D11= "","-",D11)</f>
        <v>2009</v>
      </c>
      <c r="D17" s="366">
        <v>6704177</v>
      </c>
      <c r="E17" s="367">
        <v>73788</v>
      </c>
      <c r="F17" s="366">
        <v>6630389</v>
      </c>
      <c r="G17" s="367">
        <v>750999</v>
      </c>
      <c r="H17" s="367">
        <v>750999</v>
      </c>
      <c r="I17" s="160">
        <f t="shared" ref="I17:I48" si="0">H17-G17</f>
        <v>0</v>
      </c>
      <c r="J17" s="160"/>
      <c r="K17" s="338">
        <v>750999</v>
      </c>
      <c r="L17" s="161">
        <f t="shared" ref="L17:L48" si="1">IF(K17&lt;&gt;0,+G17-K17,0)</f>
        <v>0</v>
      </c>
      <c r="M17" s="338">
        <v>750999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2010</v>
      </c>
      <c r="D18" s="371">
        <v>4651603</v>
      </c>
      <c r="E18" s="368">
        <v>84382</v>
      </c>
      <c r="F18" s="371">
        <v>4567221</v>
      </c>
      <c r="G18" s="368">
        <v>743416</v>
      </c>
      <c r="H18" s="370">
        <v>743416</v>
      </c>
      <c r="I18" s="160">
        <f t="shared" si="0"/>
        <v>0</v>
      </c>
      <c r="J18" s="160"/>
      <c r="K18" s="338">
        <f t="shared" ref="K18:K23" si="4">G18</f>
        <v>743416</v>
      </c>
      <c r="L18" s="272">
        <f t="shared" si="1"/>
        <v>0</v>
      </c>
      <c r="M18" s="338">
        <f t="shared" ref="M18:M23" si="5">H18</f>
        <v>743416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2011</v>
      </c>
      <c r="D19" s="371">
        <v>4530726</v>
      </c>
      <c r="E19" s="368">
        <v>91939.137254901958</v>
      </c>
      <c r="F19" s="371">
        <v>4438786.8627450978</v>
      </c>
      <c r="G19" s="368">
        <v>786801.66702531651</v>
      </c>
      <c r="H19" s="370">
        <v>786801.66702531651</v>
      </c>
      <c r="I19" s="160">
        <f t="shared" si="0"/>
        <v>0</v>
      </c>
      <c r="J19" s="160"/>
      <c r="K19" s="338">
        <f t="shared" si="4"/>
        <v>786801.66702531651</v>
      </c>
      <c r="L19" s="272">
        <f t="shared" si="1"/>
        <v>0</v>
      </c>
      <c r="M19" s="338">
        <f t="shared" si="5"/>
        <v>786801.66702531651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2012</v>
      </c>
      <c r="D20" s="371">
        <v>4438786.8627450978</v>
      </c>
      <c r="E20" s="368">
        <v>90171.076923076922</v>
      </c>
      <c r="F20" s="371">
        <v>4348615.7858220208</v>
      </c>
      <c r="G20" s="368">
        <v>695527.67751323315</v>
      </c>
      <c r="H20" s="370">
        <v>695527.67751323315</v>
      </c>
      <c r="I20" s="160">
        <f t="shared" si="0"/>
        <v>0</v>
      </c>
      <c r="J20" s="160"/>
      <c r="K20" s="338">
        <f t="shared" si="4"/>
        <v>695527.67751323315</v>
      </c>
      <c r="L20" s="272">
        <f t="shared" si="1"/>
        <v>0</v>
      </c>
      <c r="M20" s="338">
        <f t="shared" si="5"/>
        <v>695527.67751323315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IF(D12="","-",+C20+1)</f>
        <v>2013</v>
      </c>
      <c r="D21" s="371">
        <v>4348615.7858220208</v>
      </c>
      <c r="E21" s="368">
        <v>90171.076923076922</v>
      </c>
      <c r="F21" s="371">
        <v>4258444.7088989438</v>
      </c>
      <c r="G21" s="368">
        <v>698305.7699783385</v>
      </c>
      <c r="H21" s="370">
        <v>698305.7699783385</v>
      </c>
      <c r="I21" s="160">
        <v>0</v>
      </c>
      <c r="J21" s="160"/>
      <c r="K21" s="338">
        <f t="shared" si="4"/>
        <v>698305.7699783385</v>
      </c>
      <c r="L21" s="272">
        <f t="shared" ref="L21:L26" si="7">IF(K21&lt;&gt;0,+G21-K21,0)</f>
        <v>0</v>
      </c>
      <c r="M21" s="338">
        <f t="shared" si="5"/>
        <v>698305.7699783385</v>
      </c>
      <c r="N21" s="162">
        <f t="shared" ref="N21:N26" si="8">IF(M21&lt;&gt;0,+H21-M21,0)</f>
        <v>0</v>
      </c>
      <c r="O21" s="162">
        <f t="shared" ref="O21:O26" si="9">+N21-L21</f>
        <v>0</v>
      </c>
      <c r="P21" s="4"/>
    </row>
    <row r="22" spans="2:16">
      <c r="B22" s="9" t="str">
        <f t="shared" si="6"/>
        <v/>
      </c>
      <c r="C22" s="157">
        <f>IF(D11="","-",+C21+1)</f>
        <v>2014</v>
      </c>
      <c r="D22" s="371">
        <v>4258444.7088989438</v>
      </c>
      <c r="E22" s="368">
        <v>90171.076923076922</v>
      </c>
      <c r="F22" s="371">
        <v>4168273.6319758669</v>
      </c>
      <c r="G22" s="368">
        <v>663970.48849892756</v>
      </c>
      <c r="H22" s="370">
        <v>663970.48849892756</v>
      </c>
      <c r="I22" s="160">
        <v>0</v>
      </c>
      <c r="J22" s="160"/>
      <c r="K22" s="338">
        <f t="shared" si="4"/>
        <v>663970.48849892756</v>
      </c>
      <c r="L22" s="272">
        <f t="shared" si="7"/>
        <v>0</v>
      </c>
      <c r="M22" s="338">
        <f t="shared" si="5"/>
        <v>663970.48849892756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2015</v>
      </c>
      <c r="D23" s="371">
        <v>4168273.6319758669</v>
      </c>
      <c r="E23" s="368">
        <v>90171.076923076922</v>
      </c>
      <c r="F23" s="371">
        <v>4078102.5550527899</v>
      </c>
      <c r="G23" s="368">
        <v>652425.83265151177</v>
      </c>
      <c r="H23" s="370">
        <v>652425.83265151177</v>
      </c>
      <c r="I23" s="160">
        <v>0</v>
      </c>
      <c r="J23" s="160"/>
      <c r="K23" s="338">
        <f t="shared" si="4"/>
        <v>652425.83265151177</v>
      </c>
      <c r="L23" s="272">
        <f t="shared" si="7"/>
        <v>0</v>
      </c>
      <c r="M23" s="338">
        <f t="shared" si="5"/>
        <v>652425.83265151177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2016</v>
      </c>
      <c r="D24" s="371">
        <v>4078102.5550527899</v>
      </c>
      <c r="E24" s="368">
        <v>90171.076923076922</v>
      </c>
      <c r="F24" s="371">
        <v>3987931.4781297129</v>
      </c>
      <c r="G24" s="368">
        <v>613226.71011811122</v>
      </c>
      <c r="H24" s="370">
        <v>613226.71011811122</v>
      </c>
      <c r="I24" s="160">
        <f t="shared" si="0"/>
        <v>0</v>
      </c>
      <c r="J24" s="160"/>
      <c r="K24" s="338">
        <f>G24</f>
        <v>613226.71011811122</v>
      </c>
      <c r="L24" s="272">
        <f t="shared" si="7"/>
        <v>0</v>
      </c>
      <c r="M24" s="338">
        <f>H24</f>
        <v>613226.71011811122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2017</v>
      </c>
      <c r="D25" s="371">
        <v>3987931.4781297129</v>
      </c>
      <c r="E25" s="368">
        <v>101932.52173913043</v>
      </c>
      <c r="F25" s="371">
        <v>3885998.9563905825</v>
      </c>
      <c r="G25" s="368">
        <v>596467.2930849425</v>
      </c>
      <c r="H25" s="370">
        <v>596467.2930849425</v>
      </c>
      <c r="I25" s="160">
        <v>0</v>
      </c>
      <c r="J25" s="378"/>
      <c r="K25" s="338">
        <f>G25</f>
        <v>596467.2930849425</v>
      </c>
      <c r="L25" s="272">
        <f t="shared" si="7"/>
        <v>0</v>
      </c>
      <c r="M25" s="338">
        <f>H25</f>
        <v>596467.2930849425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2018</v>
      </c>
      <c r="D26" s="371">
        <v>3885998.9563905825</v>
      </c>
      <c r="E26" s="368">
        <v>104197.68888888889</v>
      </c>
      <c r="F26" s="371">
        <v>3781801.2675016937</v>
      </c>
      <c r="G26" s="368">
        <v>563341.50507496181</v>
      </c>
      <c r="H26" s="370">
        <v>563341.50507496181</v>
      </c>
      <c r="I26" s="160">
        <f t="shared" si="0"/>
        <v>0</v>
      </c>
      <c r="J26" s="378"/>
      <c r="K26" s="338">
        <f>G26</f>
        <v>563341.50507496181</v>
      </c>
      <c r="L26" s="272">
        <f t="shared" si="7"/>
        <v>0</v>
      </c>
      <c r="M26" s="338">
        <f>H26</f>
        <v>563341.50507496181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2019</v>
      </c>
      <c r="D27" s="163">
        <f>IF(F26+SUM(E$17:E26)=D$10,F26,D$10-SUM(E$17:E26))</f>
        <v>3781801.2675016937</v>
      </c>
      <c r="E27" s="164">
        <f>IF(+I14&lt;F26,I14,D27)</f>
        <v>117222.39999999999</v>
      </c>
      <c r="F27" s="163">
        <f t="shared" ref="F27:F48" si="10">+D27-E27</f>
        <v>3664578.8675016938</v>
      </c>
      <c r="G27" s="165">
        <f t="shared" ref="G27:G72" si="11">(D27+F27)/2*I$12+E27</f>
        <v>546224.37932435388</v>
      </c>
      <c r="H27" s="147">
        <f t="shared" ref="H27:H72" si="12">+(D27+F27)/2*I$13+E27</f>
        <v>546224.37932435388</v>
      </c>
      <c r="I27" s="160">
        <f t="shared" si="0"/>
        <v>0</v>
      </c>
      <c r="J27" s="379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6"/>
        <v/>
      </c>
      <c r="C28" s="157">
        <f>IF(D11="","-",+C27+1)</f>
        <v>2020</v>
      </c>
      <c r="D28" s="163">
        <f>IF(F27+SUM(E$17:E27)=D$10,F27,D$10-SUM(E$17:E27))</f>
        <v>3664578.8675016938</v>
      </c>
      <c r="E28" s="164">
        <f>IF(+I14&lt;F27,I14,D28)</f>
        <v>117222.39999999999</v>
      </c>
      <c r="F28" s="163">
        <f t="shared" si="10"/>
        <v>3547356.4675016939</v>
      </c>
      <c r="G28" s="165">
        <f t="shared" si="11"/>
        <v>532717.5100242605</v>
      </c>
      <c r="H28" s="147">
        <f t="shared" si="12"/>
        <v>532717.5100242605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2021</v>
      </c>
      <c r="D29" s="163">
        <f>IF(F28+SUM(E$17:E28)=D$10,F28,D$10-SUM(E$17:E28))</f>
        <v>3547356.4675016939</v>
      </c>
      <c r="E29" s="164">
        <f>IF(+I14&lt;F28,I14,D29)</f>
        <v>117222.39999999999</v>
      </c>
      <c r="F29" s="163">
        <f t="shared" si="10"/>
        <v>3430134.067501694</v>
      </c>
      <c r="G29" s="165">
        <f t="shared" si="11"/>
        <v>519210.64072416723</v>
      </c>
      <c r="H29" s="147">
        <f t="shared" si="12"/>
        <v>519210.64072416723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2022</v>
      </c>
      <c r="D30" s="163">
        <f>IF(F29+SUM(E$17:E29)=D$10,F29,D$10-SUM(E$17:E29))</f>
        <v>3430134.067501694</v>
      </c>
      <c r="E30" s="164">
        <f>IF(+I14&lt;F29,I14,D30)</f>
        <v>117222.39999999999</v>
      </c>
      <c r="F30" s="163">
        <f t="shared" si="10"/>
        <v>3312911.6675016941</v>
      </c>
      <c r="G30" s="165">
        <f t="shared" si="11"/>
        <v>505703.77142407384</v>
      </c>
      <c r="H30" s="147">
        <f t="shared" si="12"/>
        <v>505703.77142407384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2023</v>
      </c>
      <c r="D31" s="163">
        <f>IF(F30+SUM(E$17:E30)=D$10,F30,D$10-SUM(E$17:E30))</f>
        <v>3312911.6675016941</v>
      </c>
      <c r="E31" s="164">
        <f>IF(+I14&lt;F30,I14,D31)</f>
        <v>117222.39999999999</v>
      </c>
      <c r="F31" s="163">
        <f t="shared" si="10"/>
        <v>3195689.2675016942</v>
      </c>
      <c r="G31" s="165">
        <f t="shared" si="11"/>
        <v>492196.90212398046</v>
      </c>
      <c r="H31" s="147">
        <f t="shared" si="12"/>
        <v>492196.90212398046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2024</v>
      </c>
      <c r="D32" s="163">
        <f>IF(F31+SUM(E$17:E31)=D$10,F31,D$10-SUM(E$17:E31))</f>
        <v>3195689.2675016942</v>
      </c>
      <c r="E32" s="164">
        <f>IF(+I14&lt;F31,I14,D32)</f>
        <v>117222.39999999999</v>
      </c>
      <c r="F32" s="163">
        <f t="shared" si="10"/>
        <v>3078466.8675016942</v>
      </c>
      <c r="G32" s="165">
        <f t="shared" si="11"/>
        <v>478690.03282388707</v>
      </c>
      <c r="H32" s="147">
        <f t="shared" si="12"/>
        <v>478690.03282388707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2025</v>
      </c>
      <c r="D33" s="163">
        <f>IF(F32+SUM(E$17:E32)=D$10,F32,D$10-SUM(E$17:E32))</f>
        <v>3078466.8675016942</v>
      </c>
      <c r="E33" s="164">
        <f>IF(+I14&lt;F32,I14,D33)</f>
        <v>117222.39999999999</v>
      </c>
      <c r="F33" s="163">
        <f t="shared" si="10"/>
        <v>2961244.4675016943</v>
      </c>
      <c r="G33" s="165">
        <f t="shared" si="11"/>
        <v>465183.1635237938</v>
      </c>
      <c r="H33" s="147">
        <f t="shared" si="12"/>
        <v>465183.1635237938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2026</v>
      </c>
      <c r="D34" s="163">
        <f>IF(F33+SUM(E$17:E33)=D$10,F33,D$10-SUM(E$17:E33))</f>
        <v>2961244.4675016943</v>
      </c>
      <c r="E34" s="164">
        <f>IF(+I14&lt;F33,I14,D34)</f>
        <v>117222.39999999999</v>
      </c>
      <c r="F34" s="163">
        <f t="shared" si="10"/>
        <v>2844022.0675016944</v>
      </c>
      <c r="G34" s="165">
        <f t="shared" si="11"/>
        <v>451676.29422370042</v>
      </c>
      <c r="H34" s="147">
        <f t="shared" si="12"/>
        <v>451676.29422370042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2027</v>
      </c>
      <c r="D35" s="163">
        <f>IF(F34+SUM(E$17:E34)=D$10,F34,D$10-SUM(E$17:E34))</f>
        <v>2844022.0675016944</v>
      </c>
      <c r="E35" s="164">
        <f>IF(+I14&lt;F34,I14,D35)</f>
        <v>117222.39999999999</v>
      </c>
      <c r="F35" s="163">
        <f t="shared" si="10"/>
        <v>2726799.6675016945</v>
      </c>
      <c r="G35" s="165">
        <f t="shared" si="11"/>
        <v>438169.42492360715</v>
      </c>
      <c r="H35" s="147">
        <f t="shared" si="12"/>
        <v>438169.42492360715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2028</v>
      </c>
      <c r="D36" s="163">
        <f>IF(F35+SUM(E$17:E35)=D$10,F35,D$10-SUM(E$17:E35))</f>
        <v>2726799.6675016945</v>
      </c>
      <c r="E36" s="164">
        <f>IF(+I14&lt;F35,I14,D36)</f>
        <v>117222.39999999999</v>
      </c>
      <c r="F36" s="163">
        <f t="shared" si="10"/>
        <v>2609577.2675016946</v>
      </c>
      <c r="G36" s="165">
        <f t="shared" si="11"/>
        <v>424662.55562351376</v>
      </c>
      <c r="H36" s="147">
        <f t="shared" si="12"/>
        <v>424662.55562351376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2029</v>
      </c>
      <c r="D37" s="163">
        <f>IF(F36+SUM(E$17:E36)=D$10,F36,D$10-SUM(E$17:E36))</f>
        <v>2609577.2675016946</v>
      </c>
      <c r="E37" s="164">
        <f>IF(+I14&lt;F36,I14,D37)</f>
        <v>117222.39999999999</v>
      </c>
      <c r="F37" s="163">
        <f t="shared" si="10"/>
        <v>2492354.8675016947</v>
      </c>
      <c r="G37" s="165">
        <f t="shared" si="11"/>
        <v>411155.68632342038</v>
      </c>
      <c r="H37" s="147">
        <f t="shared" si="12"/>
        <v>411155.68632342038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2030</v>
      </c>
      <c r="D38" s="163">
        <f>IF(F37+SUM(E$17:E37)=D$10,F37,D$10-SUM(E$17:E37))</f>
        <v>2492354.8675016947</v>
      </c>
      <c r="E38" s="164">
        <f>IF(+I14&lt;F37,I14,D38)</f>
        <v>117222.39999999999</v>
      </c>
      <c r="F38" s="163">
        <f t="shared" si="10"/>
        <v>2375132.4675016948</v>
      </c>
      <c r="G38" s="165">
        <f t="shared" si="11"/>
        <v>397648.81702332699</v>
      </c>
      <c r="H38" s="147">
        <f t="shared" si="12"/>
        <v>397648.81702332699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2031</v>
      </c>
      <c r="D39" s="163">
        <f>IF(F38+SUM(E$17:E38)=D$10,F38,D$10-SUM(E$17:E38))</f>
        <v>2375132.4675016948</v>
      </c>
      <c r="E39" s="164">
        <f>IF(+I14&lt;F38,I14,D39)</f>
        <v>117222.39999999999</v>
      </c>
      <c r="F39" s="163">
        <f t="shared" si="10"/>
        <v>2257910.0675016949</v>
      </c>
      <c r="G39" s="165">
        <f t="shared" si="11"/>
        <v>384141.94772323372</v>
      </c>
      <c r="H39" s="147">
        <f t="shared" si="12"/>
        <v>384141.94772323372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2032</v>
      </c>
      <c r="D40" s="163">
        <f>IF(F39+SUM(E$17:E39)=D$10,F39,D$10-SUM(E$17:E39))</f>
        <v>2257910.0675016949</v>
      </c>
      <c r="E40" s="164">
        <f>IF(+I14&lt;F39,I14,D40)</f>
        <v>117222.39999999999</v>
      </c>
      <c r="F40" s="163">
        <f t="shared" si="10"/>
        <v>2140687.667501695</v>
      </c>
      <c r="G40" s="165">
        <f t="shared" si="11"/>
        <v>370635.07842314034</v>
      </c>
      <c r="H40" s="147">
        <f t="shared" si="12"/>
        <v>370635.07842314034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2033</v>
      </c>
      <c r="D41" s="163">
        <f>IF(F40+SUM(E$17:E40)=D$10,F40,D$10-SUM(E$17:E40))</f>
        <v>2140687.667501695</v>
      </c>
      <c r="E41" s="164">
        <f>IF(+I14&lt;F40,I14,D41)</f>
        <v>117222.39999999999</v>
      </c>
      <c r="F41" s="163">
        <f t="shared" si="10"/>
        <v>2023465.2675016951</v>
      </c>
      <c r="G41" s="165">
        <f t="shared" si="11"/>
        <v>357128.20912304701</v>
      </c>
      <c r="H41" s="147">
        <f t="shared" si="12"/>
        <v>357128.20912304701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2034</v>
      </c>
      <c r="D42" s="163">
        <f>IF(F41+SUM(E$17:E41)=D$10,F41,D$10-SUM(E$17:E41))</f>
        <v>2023465.2675016951</v>
      </c>
      <c r="E42" s="164">
        <f>IF(+I14&lt;F41,I14,D42)</f>
        <v>117222.39999999999</v>
      </c>
      <c r="F42" s="163">
        <f t="shared" si="10"/>
        <v>1906242.8675016952</v>
      </c>
      <c r="G42" s="165">
        <f t="shared" si="11"/>
        <v>343621.33982295368</v>
      </c>
      <c r="H42" s="147">
        <f t="shared" si="12"/>
        <v>343621.33982295368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2035</v>
      </c>
      <c r="D43" s="163">
        <f>IF(F42+SUM(E$17:E42)=D$10,F42,D$10-SUM(E$17:E42))</f>
        <v>1906242.8675016952</v>
      </c>
      <c r="E43" s="164">
        <f>IF(+I14&lt;F42,I14,D43)</f>
        <v>117222.39999999999</v>
      </c>
      <c r="F43" s="163">
        <f t="shared" si="10"/>
        <v>1789020.4675016953</v>
      </c>
      <c r="G43" s="165">
        <f t="shared" si="11"/>
        <v>330114.4705228603</v>
      </c>
      <c r="H43" s="147">
        <f t="shared" si="12"/>
        <v>330114.4705228603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2036</v>
      </c>
      <c r="D44" s="163">
        <f>IF(F43+SUM(E$17:E43)=D$10,F43,D$10-SUM(E$17:E43))</f>
        <v>1789020.4675016953</v>
      </c>
      <c r="E44" s="164">
        <f>IF(+I14&lt;F43,I14,D44)</f>
        <v>117222.39999999999</v>
      </c>
      <c r="F44" s="163">
        <f t="shared" si="10"/>
        <v>1671798.0675016954</v>
      </c>
      <c r="G44" s="165">
        <f t="shared" si="11"/>
        <v>316607.60122276703</v>
      </c>
      <c r="H44" s="147">
        <f t="shared" si="12"/>
        <v>316607.60122276703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2037</v>
      </c>
      <c r="D45" s="163">
        <f>IF(F44+SUM(E$17:E44)=D$10,F44,D$10-SUM(E$17:E44))</f>
        <v>1671798.0675016954</v>
      </c>
      <c r="E45" s="164">
        <f>IF(+I14&lt;F44,I14,D45)</f>
        <v>117222.39999999999</v>
      </c>
      <c r="F45" s="163">
        <f t="shared" si="10"/>
        <v>1554575.6675016955</v>
      </c>
      <c r="G45" s="165">
        <f t="shared" si="11"/>
        <v>303100.73192267364</v>
      </c>
      <c r="H45" s="147">
        <f t="shared" si="12"/>
        <v>303100.73192267364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2038</v>
      </c>
      <c r="D46" s="163">
        <f>IF(F45+SUM(E$17:E45)=D$10,F45,D$10-SUM(E$17:E45))</f>
        <v>1554575.6675016955</v>
      </c>
      <c r="E46" s="164">
        <f>IF(+I14&lt;F45,I14,D46)</f>
        <v>117222.39999999999</v>
      </c>
      <c r="F46" s="163">
        <f t="shared" si="10"/>
        <v>1437353.2675016955</v>
      </c>
      <c r="G46" s="165">
        <f t="shared" si="11"/>
        <v>289593.86262258026</v>
      </c>
      <c r="H46" s="147">
        <f t="shared" si="12"/>
        <v>289593.86262258026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2039</v>
      </c>
      <c r="D47" s="163">
        <f>IF(F46+SUM(E$17:E46)=D$10,F46,D$10-SUM(E$17:E46))</f>
        <v>1437353.2675016955</v>
      </c>
      <c r="E47" s="164">
        <f>IF(+I14&lt;F46,I14,D47)</f>
        <v>117222.39999999999</v>
      </c>
      <c r="F47" s="163">
        <f t="shared" si="10"/>
        <v>1320130.8675016956</v>
      </c>
      <c r="G47" s="165">
        <f t="shared" si="11"/>
        <v>276086.99332248699</v>
      </c>
      <c r="H47" s="147">
        <f t="shared" si="12"/>
        <v>276086.99332248699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2040</v>
      </c>
      <c r="D48" s="163">
        <f>IF(F47+SUM(E$17:E47)=D$10,F47,D$10-SUM(E$17:E47))</f>
        <v>1320130.8675016956</v>
      </c>
      <c r="E48" s="164">
        <f>IF(+I14&lt;F47,I14,D48)</f>
        <v>117222.39999999999</v>
      </c>
      <c r="F48" s="163">
        <f t="shared" si="10"/>
        <v>1202908.4675016957</v>
      </c>
      <c r="G48" s="165">
        <f t="shared" si="11"/>
        <v>262580.1240223936</v>
      </c>
      <c r="H48" s="147">
        <f t="shared" si="12"/>
        <v>262580.1240223936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2041</v>
      </c>
      <c r="D49" s="163">
        <f>IF(F48+SUM(E$17:E48)=D$10,F48,D$10-SUM(E$17:E48))</f>
        <v>1202908.4675016957</v>
      </c>
      <c r="E49" s="164">
        <f>IF(+I14&lt;F48,I14,D49)</f>
        <v>117222.39999999999</v>
      </c>
      <c r="F49" s="163">
        <f t="shared" ref="F49:F72" si="13">+D49-E49</f>
        <v>1085686.0675016958</v>
      </c>
      <c r="G49" s="165">
        <f t="shared" si="11"/>
        <v>249073.25472230025</v>
      </c>
      <c r="H49" s="147">
        <f t="shared" si="12"/>
        <v>249073.25472230025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6"/>
        <v/>
      </c>
      <c r="C50" s="157">
        <f>IF(D11="","-",+C49+1)</f>
        <v>2042</v>
      </c>
      <c r="D50" s="163">
        <f>IF(F49+SUM(E$17:E49)=D$10,F49,D$10-SUM(E$17:E49))</f>
        <v>1085686.0675016958</v>
      </c>
      <c r="E50" s="164">
        <f>IF(+I14&lt;F49,I14,D50)</f>
        <v>117222.39999999999</v>
      </c>
      <c r="F50" s="163">
        <f t="shared" si="13"/>
        <v>968463.6675016958</v>
      </c>
      <c r="G50" s="165">
        <f t="shared" si="11"/>
        <v>235566.38542220689</v>
      </c>
      <c r="H50" s="147">
        <f t="shared" si="12"/>
        <v>235566.38542220689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6"/>
        <v/>
      </c>
      <c r="C51" s="157">
        <f>IF(D11="","-",+C50+1)</f>
        <v>2043</v>
      </c>
      <c r="D51" s="163">
        <f>IF(F50+SUM(E$17:E50)=D$10,F50,D$10-SUM(E$17:E50))</f>
        <v>968463.6675016958</v>
      </c>
      <c r="E51" s="164">
        <f>IF(+I14&lt;F50,I14,D51)</f>
        <v>117222.39999999999</v>
      </c>
      <c r="F51" s="163">
        <f t="shared" si="13"/>
        <v>851241.26750169578</v>
      </c>
      <c r="G51" s="165">
        <f t="shared" si="11"/>
        <v>222059.51612211353</v>
      </c>
      <c r="H51" s="147">
        <f t="shared" si="12"/>
        <v>222059.51612211353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6"/>
        <v/>
      </c>
      <c r="C52" s="157">
        <f>IF(D11="","-",+C51+1)</f>
        <v>2044</v>
      </c>
      <c r="D52" s="163">
        <f>IF(F51+SUM(E$17:E51)=D$10,F51,D$10-SUM(E$17:E51))</f>
        <v>851241.26750169578</v>
      </c>
      <c r="E52" s="164">
        <f>IF(+I14&lt;F51,I14,D52)</f>
        <v>117222.39999999999</v>
      </c>
      <c r="F52" s="163">
        <f t="shared" si="13"/>
        <v>734018.86750169576</v>
      </c>
      <c r="G52" s="165">
        <f t="shared" si="11"/>
        <v>208552.64682202018</v>
      </c>
      <c r="H52" s="147">
        <f t="shared" si="12"/>
        <v>208552.64682202018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6"/>
        <v/>
      </c>
      <c r="C53" s="157">
        <f>IF(D11="","-",+C52+1)</f>
        <v>2045</v>
      </c>
      <c r="D53" s="163">
        <f>IF(F52+SUM(E$17:E52)=D$10,F52,D$10-SUM(E$17:E52))</f>
        <v>734018.86750169576</v>
      </c>
      <c r="E53" s="164">
        <f>IF(+I14&lt;F52,I14,D53)</f>
        <v>117222.39999999999</v>
      </c>
      <c r="F53" s="163">
        <f t="shared" si="13"/>
        <v>616796.46750169573</v>
      </c>
      <c r="G53" s="165">
        <f t="shared" si="11"/>
        <v>195045.77752192682</v>
      </c>
      <c r="H53" s="147">
        <f t="shared" si="12"/>
        <v>195045.77752192682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6"/>
        <v/>
      </c>
      <c r="C54" s="157">
        <f>IF(D11="","-",+C53+1)</f>
        <v>2046</v>
      </c>
      <c r="D54" s="163">
        <f>IF(F53+SUM(E$17:E53)=D$10,F53,D$10-SUM(E$17:E53))</f>
        <v>616796.46750169573</v>
      </c>
      <c r="E54" s="164">
        <f>IF(+I14&lt;F53,I14,D54)</f>
        <v>117222.39999999999</v>
      </c>
      <c r="F54" s="163">
        <f t="shared" si="13"/>
        <v>499574.06750169571</v>
      </c>
      <c r="G54" s="165">
        <f t="shared" si="11"/>
        <v>181538.90822183347</v>
      </c>
      <c r="H54" s="147">
        <f t="shared" si="12"/>
        <v>181538.90822183347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6"/>
        <v/>
      </c>
      <c r="C55" s="157">
        <f>IF(D11="","-",+C54+1)</f>
        <v>2047</v>
      </c>
      <c r="D55" s="163">
        <f>IF(F54+SUM(E$17:E54)=D$10,F54,D$10-SUM(E$17:E54))</f>
        <v>499574.06750169571</v>
      </c>
      <c r="E55" s="164">
        <f>IF(+I14&lt;F54,I14,D55)</f>
        <v>117222.39999999999</v>
      </c>
      <c r="F55" s="163">
        <f t="shared" si="13"/>
        <v>382351.66750169569</v>
      </c>
      <c r="G55" s="165">
        <f t="shared" si="11"/>
        <v>168032.03892174011</v>
      </c>
      <c r="H55" s="147">
        <f t="shared" si="12"/>
        <v>168032.03892174011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6"/>
        <v/>
      </c>
      <c r="C56" s="157">
        <f>IF(D11="","-",+C55+1)</f>
        <v>2048</v>
      </c>
      <c r="D56" s="163">
        <f>IF(F55+SUM(E$17:E55)=D$10,F55,D$10-SUM(E$17:E55))</f>
        <v>382351.66750169569</v>
      </c>
      <c r="E56" s="164">
        <f>IF(+I14&lt;F55,I14,D56)</f>
        <v>117222.39999999999</v>
      </c>
      <c r="F56" s="163">
        <f t="shared" si="13"/>
        <v>265129.26750169566</v>
      </c>
      <c r="G56" s="165">
        <f t="shared" si="11"/>
        <v>154525.16962164675</v>
      </c>
      <c r="H56" s="147">
        <f t="shared" si="12"/>
        <v>154525.16962164675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6"/>
        <v/>
      </c>
      <c r="C57" s="157">
        <f>IF(D11="","-",+C56+1)</f>
        <v>2049</v>
      </c>
      <c r="D57" s="163">
        <f>IF(F56+SUM(E$17:E56)=D$10,F56,D$10-SUM(E$17:E56))</f>
        <v>265129.26750169566</v>
      </c>
      <c r="E57" s="164">
        <f>IF(+I14&lt;F56,I14,D57)</f>
        <v>117222.39999999999</v>
      </c>
      <c r="F57" s="163">
        <f t="shared" si="13"/>
        <v>147906.86750169567</v>
      </c>
      <c r="G57" s="165">
        <f t="shared" si="11"/>
        <v>141018.3003215534</v>
      </c>
      <c r="H57" s="147">
        <f t="shared" si="12"/>
        <v>141018.3003215534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6"/>
        <v/>
      </c>
      <c r="C58" s="157">
        <f>IF(D11="","-",+C57+1)</f>
        <v>2050</v>
      </c>
      <c r="D58" s="163">
        <f>IF(F57+SUM(E$17:E57)=D$10,F57,D$10-SUM(E$17:E57))</f>
        <v>147906.86750169567</v>
      </c>
      <c r="E58" s="164">
        <f>IF(+I14&lt;F57,I14,D58)</f>
        <v>117222.39999999999</v>
      </c>
      <c r="F58" s="163">
        <f t="shared" si="13"/>
        <v>30684.467501695675</v>
      </c>
      <c r="G58" s="165">
        <f t="shared" si="11"/>
        <v>127511.43102146004</v>
      </c>
      <c r="H58" s="147">
        <f t="shared" si="12"/>
        <v>127511.43102146004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6"/>
        <v/>
      </c>
      <c r="C59" s="157">
        <f>IF(D11="","-",+C58+1)</f>
        <v>2051</v>
      </c>
      <c r="D59" s="163">
        <f>IF(F58+SUM(E$17:E58)=D$10,F58,D$10-SUM(E$17:E58))</f>
        <v>30684.467501695675</v>
      </c>
      <c r="E59" s="164">
        <f>IF(+I14&lt;F58,I14,D59)</f>
        <v>30684.467501695675</v>
      </c>
      <c r="F59" s="163">
        <f t="shared" si="13"/>
        <v>0</v>
      </c>
      <c r="G59" s="165">
        <f t="shared" si="11"/>
        <v>32452.265687402356</v>
      </c>
      <c r="H59" s="147">
        <f t="shared" si="12"/>
        <v>32452.265687402356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6"/>
        <v/>
      </c>
      <c r="C60" s="157">
        <f>IF(D11="","-",+C59+1)</f>
        <v>2052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3"/>
        <v>0</v>
      </c>
      <c r="G60" s="165">
        <f t="shared" si="11"/>
        <v>0</v>
      </c>
      <c r="H60" s="147">
        <f t="shared" si="12"/>
        <v>0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6"/>
        <v/>
      </c>
      <c r="C61" s="157">
        <f>IF(D11="","-",+C60+1)</f>
        <v>2053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6"/>
        <v/>
      </c>
      <c r="C62" s="157">
        <f>IF(D11="","-",+C61+1)</f>
        <v>2054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6"/>
        <v/>
      </c>
      <c r="C63" s="157">
        <f>IF(D11="","-",+C62+1)</f>
        <v>2055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6"/>
        <v/>
      </c>
      <c r="C64" s="157">
        <f>IF(D11="","-",+C63+1)</f>
        <v>2056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6"/>
        <v/>
      </c>
      <c r="C65" s="157">
        <f>IF(D11="","-",+C64+1)</f>
        <v>2057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6"/>
        <v/>
      </c>
      <c r="C66" s="157">
        <f>IF(D11="","-",+C65+1)</f>
        <v>2058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6"/>
        <v/>
      </c>
      <c r="C67" s="157">
        <f>IF(D11="","-",+C66+1)</f>
        <v>2059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6"/>
        <v/>
      </c>
      <c r="C68" s="157">
        <f>IF(D11="","-",+C67+1)</f>
        <v>2060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6"/>
        <v/>
      </c>
      <c r="C69" s="157">
        <f>IF(D11="","-",+C68+1)</f>
        <v>2061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6"/>
        <v/>
      </c>
      <c r="C70" s="157">
        <f>IF(D11="","-",+C69+1)</f>
        <v>2062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6"/>
        <v/>
      </c>
      <c r="C71" s="157">
        <f>IF(D11="","-",+C70+1)</f>
        <v>2063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2064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4688896</v>
      </c>
      <c r="F73" s="115"/>
      <c r="G73" s="115">
        <f>SUM(G17:G72)</f>
        <v>17576707.175165769</v>
      </c>
      <c r="H73" s="115">
        <f>SUM(H17:H72)</f>
        <v>17576707.175165769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2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596467.2930849425</v>
      </c>
      <c r="N87" s="202">
        <f>IF(J92&lt;D11,0,VLOOKUP(J92,C17:O72,11))</f>
        <v>596467.2930849425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602236.76208219538</v>
      </c>
      <c r="N88" s="204">
        <f>IF(J92&lt;D11,0,VLOOKUP(J92,C99:P154,7))</f>
        <v>602236.76208219538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Craig Jct. to Broken Bow Dam 138 Rebuild (7.7mi)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5769.4689972528722</v>
      </c>
      <c r="N89" s="207">
        <f>+N88-N87</f>
        <v>5769.4689972528722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TP2007059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4688896.139999995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2009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5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101933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2009</v>
      </c>
      <c r="D99" s="366">
        <v>0</v>
      </c>
      <c r="E99" s="368">
        <v>49223</v>
      </c>
      <c r="F99" s="371">
        <v>4676168</v>
      </c>
      <c r="G99" s="373">
        <v>2338084</v>
      </c>
      <c r="H99" s="374">
        <v>391070</v>
      </c>
      <c r="I99" s="375">
        <v>391070</v>
      </c>
      <c r="J99" s="162">
        <f t="shared" ref="J99:J130" si="18">+I99-H99</f>
        <v>0</v>
      </c>
      <c r="K99" s="162"/>
      <c r="L99" s="338">
        <f t="shared" ref="L99:L104" si="19">H99</f>
        <v>391070</v>
      </c>
      <c r="M99" s="161">
        <f t="shared" ref="M99:M130" si="20">IF(L99&lt;&gt;0,+H99-L99,0)</f>
        <v>0</v>
      </c>
      <c r="N99" s="338">
        <f t="shared" ref="N99:N104" si="21">I99</f>
        <v>391070</v>
      </c>
      <c r="O99" s="161">
        <f t="shared" ref="O99:O130" si="22">IF(N99&lt;&gt;0,+I99-N99,0)</f>
        <v>0</v>
      </c>
      <c r="P99" s="161">
        <f t="shared" ref="P99:P130" si="23">+O99-M99</f>
        <v>0</v>
      </c>
    </row>
    <row r="100" spans="1:16">
      <c r="B100" s="9" t="str">
        <f>IF(D100=F99,"","IU")</f>
        <v>IU</v>
      </c>
      <c r="C100" s="157">
        <f>IF(D93="","-",+C99+1)</f>
        <v>2010</v>
      </c>
      <c r="D100" s="366">
        <v>4639673.1399999997</v>
      </c>
      <c r="E100" s="368">
        <v>91939</v>
      </c>
      <c r="F100" s="371">
        <v>4547734.1399999997</v>
      </c>
      <c r="G100" s="371">
        <v>4593703.6399999997</v>
      </c>
      <c r="H100" s="368">
        <v>830676.46951907186</v>
      </c>
      <c r="I100" s="370">
        <v>830676.46951907186</v>
      </c>
      <c r="J100" s="162">
        <f t="shared" si="18"/>
        <v>0</v>
      </c>
      <c r="K100" s="162"/>
      <c r="L100" s="380">
        <f t="shared" si="19"/>
        <v>830676.46951907186</v>
      </c>
      <c r="M100" s="381">
        <f t="shared" si="20"/>
        <v>0</v>
      </c>
      <c r="N100" s="380">
        <f t="shared" si="21"/>
        <v>830676.46951907186</v>
      </c>
      <c r="O100" s="162">
        <f t="shared" si="22"/>
        <v>0</v>
      </c>
      <c r="P100" s="162">
        <f t="shared" si="23"/>
        <v>0</v>
      </c>
    </row>
    <row r="101" spans="1:16">
      <c r="B101" s="9" t="str">
        <f t="shared" ref="B101:B154" si="24">IF(D101=F100,"","IU")</f>
        <v/>
      </c>
      <c r="C101" s="405">
        <f>IF(D93="","-",+C100+1)</f>
        <v>2011</v>
      </c>
      <c r="D101" s="366">
        <v>4547734.1399999997</v>
      </c>
      <c r="E101" s="368">
        <v>90171</v>
      </c>
      <c r="F101" s="371">
        <v>4457563.1399999997</v>
      </c>
      <c r="G101" s="371">
        <v>4502648.6399999997</v>
      </c>
      <c r="H101" s="368">
        <v>719701.78616364778</v>
      </c>
      <c r="I101" s="370">
        <v>719701.78616364778</v>
      </c>
      <c r="J101" s="162">
        <f t="shared" si="18"/>
        <v>0</v>
      </c>
      <c r="K101" s="162"/>
      <c r="L101" s="380">
        <f t="shared" si="19"/>
        <v>719701.78616364778</v>
      </c>
      <c r="M101" s="381">
        <f t="shared" si="20"/>
        <v>0</v>
      </c>
      <c r="N101" s="380">
        <f t="shared" si="21"/>
        <v>719701.78616364778</v>
      </c>
      <c r="O101" s="162">
        <f t="shared" si="22"/>
        <v>0</v>
      </c>
      <c r="P101" s="162">
        <f t="shared" si="23"/>
        <v>0</v>
      </c>
    </row>
    <row r="102" spans="1:16">
      <c r="B102" s="9" t="str">
        <f t="shared" si="24"/>
        <v/>
      </c>
      <c r="C102" s="157">
        <f>IF(D93="","-",+C101+1)</f>
        <v>2012</v>
      </c>
      <c r="D102" s="366">
        <v>4457563.1399999997</v>
      </c>
      <c r="E102" s="368">
        <v>90171</v>
      </c>
      <c r="F102" s="371">
        <v>4367392.1399999997</v>
      </c>
      <c r="G102" s="371">
        <v>4412477.6399999997</v>
      </c>
      <c r="H102" s="368">
        <v>724930.09682284109</v>
      </c>
      <c r="I102" s="370">
        <v>724930.09682284109</v>
      </c>
      <c r="J102" s="162">
        <v>0</v>
      </c>
      <c r="K102" s="162"/>
      <c r="L102" s="380">
        <f t="shared" si="19"/>
        <v>724930.09682284109</v>
      </c>
      <c r="M102" s="381">
        <f>IF(L102&lt;&gt;0,+H102-L102,0)</f>
        <v>0</v>
      </c>
      <c r="N102" s="380">
        <f t="shared" si="21"/>
        <v>724930.09682284109</v>
      </c>
      <c r="O102" s="162">
        <f>IF(N102&lt;&gt;0,+I102-N102,0)</f>
        <v>0</v>
      </c>
      <c r="P102" s="162">
        <f>+O102-M102</f>
        <v>0</v>
      </c>
    </row>
    <row r="103" spans="1:16">
      <c r="B103" s="9" t="str">
        <f t="shared" si="24"/>
        <v/>
      </c>
      <c r="C103" s="157">
        <f>IF(D93="","-",+C102+1)</f>
        <v>2013</v>
      </c>
      <c r="D103" s="366">
        <v>4367392.1399999997</v>
      </c>
      <c r="E103" s="368">
        <v>90171</v>
      </c>
      <c r="F103" s="371">
        <v>4277221.1399999997</v>
      </c>
      <c r="G103" s="371">
        <v>4322306.6399999997</v>
      </c>
      <c r="H103" s="368">
        <v>712322.06264393788</v>
      </c>
      <c r="I103" s="370">
        <v>712322.06264393788</v>
      </c>
      <c r="J103" s="162">
        <v>0</v>
      </c>
      <c r="K103" s="162"/>
      <c r="L103" s="380">
        <f t="shared" si="19"/>
        <v>712322.06264393788</v>
      </c>
      <c r="M103" s="381">
        <f>IF(L103&lt;&gt;0,+H103-L103,0)</f>
        <v>0</v>
      </c>
      <c r="N103" s="380">
        <f t="shared" si="21"/>
        <v>712322.06264393788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4"/>
        <v/>
      </c>
      <c r="C104" s="157">
        <f>IF(D93="","-",+C103+1)</f>
        <v>2014</v>
      </c>
      <c r="D104" s="366">
        <v>4277221.1399999997</v>
      </c>
      <c r="E104" s="368">
        <v>90171</v>
      </c>
      <c r="F104" s="371">
        <v>4187050.1399999997</v>
      </c>
      <c r="G104" s="371">
        <v>4232135.6399999997</v>
      </c>
      <c r="H104" s="368">
        <v>685191.9710405051</v>
      </c>
      <c r="I104" s="370">
        <v>685191.9710405051</v>
      </c>
      <c r="J104" s="162">
        <v>0</v>
      </c>
      <c r="K104" s="162"/>
      <c r="L104" s="380">
        <f t="shared" si="19"/>
        <v>685191.9710405051</v>
      </c>
      <c r="M104" s="381">
        <f>IF(L104&lt;&gt;0,+H104-L104,0)</f>
        <v>0</v>
      </c>
      <c r="N104" s="380">
        <f t="shared" si="21"/>
        <v>685191.9710405051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4"/>
        <v/>
      </c>
      <c r="C105" s="157">
        <f>IF(D93="","-",+C104+1)</f>
        <v>2015</v>
      </c>
      <c r="D105" s="366">
        <v>4187050.1399999997</v>
      </c>
      <c r="E105" s="368">
        <v>90171</v>
      </c>
      <c r="F105" s="371">
        <v>4096879.1399999997</v>
      </c>
      <c r="G105" s="371">
        <v>4141964.6399999997</v>
      </c>
      <c r="H105" s="368">
        <v>655308.7720911433</v>
      </c>
      <c r="I105" s="370">
        <v>655308.7720911433</v>
      </c>
      <c r="J105" s="162">
        <f t="shared" si="18"/>
        <v>0</v>
      </c>
      <c r="K105" s="162"/>
      <c r="L105" s="380">
        <f>H105</f>
        <v>655308.7720911433</v>
      </c>
      <c r="M105" s="381">
        <f>IF(L105&lt;&gt;0,+H105-L105,0)</f>
        <v>0</v>
      </c>
      <c r="N105" s="380">
        <f>I105</f>
        <v>655308.7720911433</v>
      </c>
      <c r="O105" s="162">
        <f t="shared" si="22"/>
        <v>0</v>
      </c>
      <c r="P105" s="162">
        <f t="shared" si="23"/>
        <v>0</v>
      </c>
    </row>
    <row r="106" spans="1:16">
      <c r="B106" s="9" t="str">
        <f t="shared" si="24"/>
        <v/>
      </c>
      <c r="C106" s="157">
        <f>IF(D93="","-",+C105+1)</f>
        <v>2016</v>
      </c>
      <c r="D106" s="366">
        <v>4096879.1399999997</v>
      </c>
      <c r="E106" s="368">
        <v>101933</v>
      </c>
      <c r="F106" s="371">
        <v>3994946.1399999997</v>
      </c>
      <c r="G106" s="371">
        <v>4045912.6399999997</v>
      </c>
      <c r="H106" s="368">
        <v>623514.8578657991</v>
      </c>
      <c r="I106" s="370">
        <v>623514.8578657991</v>
      </c>
      <c r="J106" s="162">
        <v>0</v>
      </c>
      <c r="K106" s="162"/>
      <c r="L106" s="380">
        <f>H106</f>
        <v>623514.8578657991</v>
      </c>
      <c r="M106" s="381">
        <f>IF(L106&lt;&gt;0,+H106-L106,0)</f>
        <v>0</v>
      </c>
      <c r="N106" s="380">
        <f>I106</f>
        <v>623514.8578657991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4"/>
        <v/>
      </c>
      <c r="C107" s="157">
        <f>IF(D93="","-",+C106+1)</f>
        <v>2017</v>
      </c>
      <c r="D107" s="158">
        <f>IF(F106+SUM(E$99:E106)=D$92,F106,D$92-SUM(E$99:E106))</f>
        <v>3994946.1399999997</v>
      </c>
      <c r="E107" s="165">
        <f>IF(+J96&lt;F106,J96,D107)</f>
        <v>101933</v>
      </c>
      <c r="F107" s="163">
        <f t="shared" ref="F107:F130" si="25">+D107-E107</f>
        <v>3893013.1399999997</v>
      </c>
      <c r="G107" s="163">
        <f t="shared" ref="G107:G130" si="26">+(F107+D107)/2</f>
        <v>3943979.6399999997</v>
      </c>
      <c r="H107" s="167">
        <f t="shared" ref="H107:H154" si="27">+J$94*G107+E107</f>
        <v>602236.76208219538</v>
      </c>
      <c r="I107" s="317">
        <f t="shared" ref="I107:I154" si="28">+J$95*G107+E107</f>
        <v>602236.76208219538</v>
      </c>
      <c r="J107" s="162">
        <f t="shared" si="18"/>
        <v>0</v>
      </c>
      <c r="K107" s="162"/>
      <c r="L107" s="335"/>
      <c r="M107" s="162">
        <f t="shared" si="20"/>
        <v>0</v>
      </c>
      <c r="N107" s="335"/>
      <c r="O107" s="162">
        <f t="shared" si="22"/>
        <v>0</v>
      </c>
      <c r="P107" s="162">
        <f t="shared" si="23"/>
        <v>0</v>
      </c>
    </row>
    <row r="108" spans="1:16">
      <c r="B108" s="9" t="str">
        <f t="shared" si="24"/>
        <v/>
      </c>
      <c r="C108" s="157">
        <f>IF(D93="","-",+C107+1)</f>
        <v>2018</v>
      </c>
      <c r="D108" s="158">
        <f>IF(F107+SUM(E$99:E107)=D$92,F107,D$92-SUM(E$99:E107))</f>
        <v>3893013.1399999997</v>
      </c>
      <c r="E108" s="165">
        <f>IF(+J96&lt;F107,J96,D108)</f>
        <v>101933</v>
      </c>
      <c r="F108" s="163">
        <f t="shared" si="25"/>
        <v>3791080.1399999997</v>
      </c>
      <c r="G108" s="163">
        <f t="shared" si="26"/>
        <v>3842046.6399999997</v>
      </c>
      <c r="H108" s="167">
        <f t="shared" si="27"/>
        <v>589306.30400804454</v>
      </c>
      <c r="I108" s="317">
        <f t="shared" si="28"/>
        <v>589306.30400804454</v>
      </c>
      <c r="J108" s="162">
        <f t="shared" si="18"/>
        <v>0</v>
      </c>
      <c r="K108" s="162"/>
      <c r="L108" s="335"/>
      <c r="M108" s="162">
        <f t="shared" si="20"/>
        <v>0</v>
      </c>
      <c r="N108" s="335"/>
      <c r="O108" s="162">
        <f t="shared" si="22"/>
        <v>0</v>
      </c>
      <c r="P108" s="162">
        <f t="shared" si="23"/>
        <v>0</v>
      </c>
    </row>
    <row r="109" spans="1:16">
      <c r="B109" s="9" t="str">
        <f t="shared" si="24"/>
        <v/>
      </c>
      <c r="C109" s="157">
        <f>IF(D93="","-",+C108+1)</f>
        <v>2019</v>
      </c>
      <c r="D109" s="158">
        <f>IF(F108+SUM(E$99:E108)=D$92,F108,D$92-SUM(E$99:E108))</f>
        <v>3791080.1399999997</v>
      </c>
      <c r="E109" s="165">
        <f>IF(+J96&lt;F108,J96,D109)</f>
        <v>101933</v>
      </c>
      <c r="F109" s="163">
        <f t="shared" si="25"/>
        <v>3689147.1399999997</v>
      </c>
      <c r="G109" s="163">
        <f t="shared" si="26"/>
        <v>3740113.6399999997</v>
      </c>
      <c r="H109" s="167">
        <f t="shared" si="27"/>
        <v>576375.8459338937</v>
      </c>
      <c r="I109" s="317">
        <f t="shared" si="28"/>
        <v>576375.8459338937</v>
      </c>
      <c r="J109" s="162">
        <f t="shared" si="18"/>
        <v>0</v>
      </c>
      <c r="K109" s="162"/>
      <c r="L109" s="335"/>
      <c r="M109" s="162">
        <f t="shared" si="20"/>
        <v>0</v>
      </c>
      <c r="N109" s="335"/>
      <c r="O109" s="162">
        <f t="shared" si="22"/>
        <v>0</v>
      </c>
      <c r="P109" s="162">
        <f t="shared" si="23"/>
        <v>0</v>
      </c>
    </row>
    <row r="110" spans="1:16">
      <c r="B110" s="9" t="str">
        <f t="shared" si="24"/>
        <v/>
      </c>
      <c r="C110" s="157">
        <f>IF(D93="","-",+C109+1)</f>
        <v>2020</v>
      </c>
      <c r="D110" s="158">
        <f>IF(F109+SUM(E$99:E109)=D$92,F109,D$92-SUM(E$99:E109))</f>
        <v>3689147.1399999997</v>
      </c>
      <c r="E110" s="165">
        <f>IF(+J96&lt;F109,J96,D110)</f>
        <v>101933</v>
      </c>
      <c r="F110" s="163">
        <f t="shared" si="25"/>
        <v>3587214.1399999997</v>
      </c>
      <c r="G110" s="163">
        <f t="shared" si="26"/>
        <v>3638180.6399999997</v>
      </c>
      <c r="H110" s="167">
        <f t="shared" si="27"/>
        <v>563445.38785974286</v>
      </c>
      <c r="I110" s="317">
        <f t="shared" si="28"/>
        <v>563445.38785974286</v>
      </c>
      <c r="J110" s="162">
        <f t="shared" si="18"/>
        <v>0</v>
      </c>
      <c r="K110" s="162"/>
      <c r="L110" s="335"/>
      <c r="M110" s="162">
        <f t="shared" si="20"/>
        <v>0</v>
      </c>
      <c r="N110" s="335"/>
      <c r="O110" s="162">
        <f t="shared" si="22"/>
        <v>0</v>
      </c>
      <c r="P110" s="162">
        <f t="shared" si="23"/>
        <v>0</v>
      </c>
    </row>
    <row r="111" spans="1:16">
      <c r="B111" s="9" t="str">
        <f t="shared" si="24"/>
        <v/>
      </c>
      <c r="C111" s="157">
        <f>IF(D93="","-",+C110+1)</f>
        <v>2021</v>
      </c>
      <c r="D111" s="158">
        <f>IF(F110+SUM(E$99:E110)=D$92,F110,D$92-SUM(E$99:E110))</f>
        <v>3587214.1399999997</v>
      </c>
      <c r="E111" s="165">
        <f>IF(+J96&lt;F110,J96,D111)</f>
        <v>101933</v>
      </c>
      <c r="F111" s="163">
        <f t="shared" si="25"/>
        <v>3485281.1399999997</v>
      </c>
      <c r="G111" s="163">
        <f t="shared" si="26"/>
        <v>3536247.6399999997</v>
      </c>
      <c r="H111" s="167">
        <f t="shared" si="27"/>
        <v>550514.92978559202</v>
      </c>
      <c r="I111" s="317">
        <f t="shared" si="28"/>
        <v>550514.92978559202</v>
      </c>
      <c r="J111" s="162">
        <f t="shared" si="18"/>
        <v>0</v>
      </c>
      <c r="K111" s="162"/>
      <c r="L111" s="335"/>
      <c r="M111" s="162">
        <f t="shared" si="20"/>
        <v>0</v>
      </c>
      <c r="N111" s="335"/>
      <c r="O111" s="162">
        <f t="shared" si="22"/>
        <v>0</v>
      </c>
      <c r="P111" s="162">
        <f t="shared" si="23"/>
        <v>0</v>
      </c>
    </row>
    <row r="112" spans="1:16">
      <c r="B112" s="9" t="str">
        <f t="shared" si="24"/>
        <v/>
      </c>
      <c r="C112" s="157">
        <f>IF(D93="","-",+C111+1)</f>
        <v>2022</v>
      </c>
      <c r="D112" s="158">
        <f>IF(F111+SUM(E$99:E111)=D$92,F111,D$92-SUM(E$99:E111))</f>
        <v>3485281.1399999997</v>
      </c>
      <c r="E112" s="165">
        <f>IF(+J96&lt;F111,J96,D112)</f>
        <v>101933</v>
      </c>
      <c r="F112" s="163">
        <f t="shared" si="25"/>
        <v>3383348.1399999997</v>
      </c>
      <c r="G112" s="163">
        <f t="shared" si="26"/>
        <v>3434314.6399999997</v>
      </c>
      <c r="H112" s="167">
        <f t="shared" si="27"/>
        <v>537584.47171144118</v>
      </c>
      <c r="I112" s="317">
        <f t="shared" si="28"/>
        <v>537584.47171144118</v>
      </c>
      <c r="J112" s="162">
        <f t="shared" si="18"/>
        <v>0</v>
      </c>
      <c r="K112" s="162"/>
      <c r="L112" s="335"/>
      <c r="M112" s="162">
        <f t="shared" si="20"/>
        <v>0</v>
      </c>
      <c r="N112" s="335"/>
      <c r="O112" s="162">
        <f t="shared" si="22"/>
        <v>0</v>
      </c>
      <c r="P112" s="162">
        <f t="shared" si="23"/>
        <v>0</v>
      </c>
    </row>
    <row r="113" spans="2:16">
      <c r="B113" s="9" t="str">
        <f t="shared" si="24"/>
        <v/>
      </c>
      <c r="C113" s="157">
        <f>IF(D93="","-",+C112+1)</f>
        <v>2023</v>
      </c>
      <c r="D113" s="158">
        <f>IF(F112+SUM(E$99:E112)=D$92,F112,D$92-SUM(E$99:E112))</f>
        <v>3383348.1399999997</v>
      </c>
      <c r="E113" s="165">
        <f>IF(+J96&lt;F112,J96,D113)</f>
        <v>101933</v>
      </c>
      <c r="F113" s="163">
        <f t="shared" si="25"/>
        <v>3281415.1399999997</v>
      </c>
      <c r="G113" s="163">
        <f t="shared" si="26"/>
        <v>3332381.6399999997</v>
      </c>
      <c r="H113" s="167">
        <f t="shared" si="27"/>
        <v>524654.01363729045</v>
      </c>
      <c r="I113" s="317">
        <f t="shared" si="28"/>
        <v>524654.01363729045</v>
      </c>
      <c r="J113" s="162">
        <f t="shared" si="18"/>
        <v>0</v>
      </c>
      <c r="K113" s="162"/>
      <c r="L113" s="335"/>
      <c r="M113" s="162">
        <f t="shared" si="20"/>
        <v>0</v>
      </c>
      <c r="N113" s="335"/>
      <c r="O113" s="162">
        <f t="shared" si="22"/>
        <v>0</v>
      </c>
      <c r="P113" s="162">
        <f t="shared" si="23"/>
        <v>0</v>
      </c>
    </row>
    <row r="114" spans="2:16">
      <c r="B114" s="9" t="str">
        <f t="shared" si="24"/>
        <v/>
      </c>
      <c r="C114" s="157">
        <f>IF(D93="","-",+C113+1)</f>
        <v>2024</v>
      </c>
      <c r="D114" s="158">
        <f>IF(F113+SUM(E$99:E113)=D$92,F113,D$92-SUM(E$99:E113))</f>
        <v>3281415.1399999997</v>
      </c>
      <c r="E114" s="165">
        <f>IF(+J96&lt;F113,J96,D114)</f>
        <v>101933</v>
      </c>
      <c r="F114" s="163">
        <f t="shared" si="25"/>
        <v>3179482.1399999997</v>
      </c>
      <c r="G114" s="163">
        <f t="shared" si="26"/>
        <v>3230448.6399999997</v>
      </c>
      <c r="H114" s="167">
        <f t="shared" si="27"/>
        <v>511723.55556313961</v>
      </c>
      <c r="I114" s="317">
        <f t="shared" si="28"/>
        <v>511723.55556313961</v>
      </c>
      <c r="J114" s="162">
        <f t="shared" si="18"/>
        <v>0</v>
      </c>
      <c r="K114" s="162"/>
      <c r="L114" s="335"/>
      <c r="M114" s="162">
        <f t="shared" si="20"/>
        <v>0</v>
      </c>
      <c r="N114" s="335"/>
      <c r="O114" s="162">
        <f t="shared" si="22"/>
        <v>0</v>
      </c>
      <c r="P114" s="162">
        <f t="shared" si="23"/>
        <v>0</v>
      </c>
    </row>
    <row r="115" spans="2:16">
      <c r="B115" s="9" t="str">
        <f t="shared" si="24"/>
        <v/>
      </c>
      <c r="C115" s="157">
        <f>IF(D93="","-",+C114+1)</f>
        <v>2025</v>
      </c>
      <c r="D115" s="158">
        <f>IF(F114+SUM(E$99:E114)=D$92,F114,D$92-SUM(E$99:E114))</f>
        <v>3179482.1399999997</v>
      </c>
      <c r="E115" s="165">
        <f>IF(+J96&lt;F114,J96,D115)</f>
        <v>101933</v>
      </c>
      <c r="F115" s="163">
        <f t="shared" si="25"/>
        <v>3077549.1399999997</v>
      </c>
      <c r="G115" s="163">
        <f t="shared" si="26"/>
        <v>3128515.6399999997</v>
      </c>
      <c r="H115" s="167">
        <f t="shared" si="27"/>
        <v>498793.09748898883</v>
      </c>
      <c r="I115" s="317">
        <f t="shared" si="28"/>
        <v>498793.09748898883</v>
      </c>
      <c r="J115" s="162">
        <f t="shared" si="18"/>
        <v>0</v>
      </c>
      <c r="K115" s="162"/>
      <c r="L115" s="335"/>
      <c r="M115" s="162">
        <f t="shared" si="20"/>
        <v>0</v>
      </c>
      <c r="N115" s="335"/>
      <c r="O115" s="162">
        <f t="shared" si="22"/>
        <v>0</v>
      </c>
      <c r="P115" s="162">
        <f t="shared" si="23"/>
        <v>0</v>
      </c>
    </row>
    <row r="116" spans="2:16">
      <c r="B116" s="9" t="str">
        <f t="shared" si="24"/>
        <v/>
      </c>
      <c r="C116" s="157">
        <f>IF(D93="","-",+C115+1)</f>
        <v>2026</v>
      </c>
      <c r="D116" s="158">
        <f>IF(F115+SUM(E$99:E115)=D$92,F115,D$92-SUM(E$99:E115))</f>
        <v>3077549.1399999997</v>
      </c>
      <c r="E116" s="165">
        <f>IF(+J96&lt;F115,J96,D116)</f>
        <v>101933</v>
      </c>
      <c r="F116" s="163">
        <f t="shared" si="25"/>
        <v>2975616.1399999997</v>
      </c>
      <c r="G116" s="163">
        <f t="shared" si="26"/>
        <v>3026582.6399999997</v>
      </c>
      <c r="H116" s="167">
        <f t="shared" si="27"/>
        <v>485862.63941483799</v>
      </c>
      <c r="I116" s="317">
        <f t="shared" si="28"/>
        <v>485862.63941483799</v>
      </c>
      <c r="J116" s="162">
        <f t="shared" si="18"/>
        <v>0</v>
      </c>
      <c r="K116" s="162"/>
      <c r="L116" s="335"/>
      <c r="M116" s="162">
        <f t="shared" si="20"/>
        <v>0</v>
      </c>
      <c r="N116" s="335"/>
      <c r="O116" s="162">
        <f t="shared" si="22"/>
        <v>0</v>
      </c>
      <c r="P116" s="162">
        <f t="shared" si="23"/>
        <v>0</v>
      </c>
    </row>
    <row r="117" spans="2:16">
      <c r="B117" s="9" t="str">
        <f t="shared" si="24"/>
        <v/>
      </c>
      <c r="C117" s="157">
        <f>IF(D93="","-",+C116+1)</f>
        <v>2027</v>
      </c>
      <c r="D117" s="158">
        <f>IF(F116+SUM(E$99:E116)=D$92,F116,D$92-SUM(E$99:E116))</f>
        <v>2975616.1399999997</v>
      </c>
      <c r="E117" s="165">
        <f>IF(+J96&lt;F116,J96,D117)</f>
        <v>101933</v>
      </c>
      <c r="F117" s="163">
        <f t="shared" si="25"/>
        <v>2873683.1399999997</v>
      </c>
      <c r="G117" s="163">
        <f t="shared" si="26"/>
        <v>2924649.6399999997</v>
      </c>
      <c r="H117" s="167">
        <f t="shared" si="27"/>
        <v>472932.18134068715</v>
      </c>
      <c r="I117" s="317">
        <f t="shared" si="28"/>
        <v>472932.18134068715</v>
      </c>
      <c r="J117" s="162">
        <f t="shared" si="18"/>
        <v>0</v>
      </c>
      <c r="K117" s="162"/>
      <c r="L117" s="335"/>
      <c r="M117" s="162">
        <f t="shared" si="20"/>
        <v>0</v>
      </c>
      <c r="N117" s="335"/>
      <c r="O117" s="162">
        <f t="shared" si="22"/>
        <v>0</v>
      </c>
      <c r="P117" s="162">
        <f t="shared" si="23"/>
        <v>0</v>
      </c>
    </row>
    <row r="118" spans="2:16">
      <c r="B118" s="9" t="str">
        <f t="shared" si="24"/>
        <v/>
      </c>
      <c r="C118" s="157">
        <f>IF(D93="","-",+C117+1)</f>
        <v>2028</v>
      </c>
      <c r="D118" s="158">
        <f>IF(F117+SUM(E$99:E117)=D$92,F117,D$92-SUM(E$99:E117))</f>
        <v>2873683.1399999997</v>
      </c>
      <c r="E118" s="165">
        <f>IF(+J96&lt;F117,J96,D118)</f>
        <v>101933</v>
      </c>
      <c r="F118" s="163">
        <f t="shared" si="25"/>
        <v>2771750.1399999997</v>
      </c>
      <c r="G118" s="163">
        <f t="shared" si="26"/>
        <v>2822716.6399999997</v>
      </c>
      <c r="H118" s="167">
        <f t="shared" si="27"/>
        <v>460001.72326653637</v>
      </c>
      <c r="I118" s="317">
        <f t="shared" si="28"/>
        <v>460001.72326653637</v>
      </c>
      <c r="J118" s="162">
        <f t="shared" si="18"/>
        <v>0</v>
      </c>
      <c r="K118" s="162"/>
      <c r="L118" s="335"/>
      <c r="M118" s="162">
        <f t="shared" si="20"/>
        <v>0</v>
      </c>
      <c r="N118" s="335"/>
      <c r="O118" s="162">
        <f t="shared" si="22"/>
        <v>0</v>
      </c>
      <c r="P118" s="162">
        <f t="shared" si="23"/>
        <v>0</v>
      </c>
    </row>
    <row r="119" spans="2:16">
      <c r="B119" s="9" t="str">
        <f t="shared" si="24"/>
        <v/>
      </c>
      <c r="C119" s="157">
        <f>IF(D93="","-",+C118+1)</f>
        <v>2029</v>
      </c>
      <c r="D119" s="158">
        <f>IF(F118+SUM(E$99:E118)=D$92,F118,D$92-SUM(E$99:E118))</f>
        <v>2771750.1399999997</v>
      </c>
      <c r="E119" s="165">
        <f>IF(+J96&lt;F118,J96,D119)</f>
        <v>101933</v>
      </c>
      <c r="F119" s="163">
        <f t="shared" si="25"/>
        <v>2669817.1399999997</v>
      </c>
      <c r="G119" s="163">
        <f t="shared" si="26"/>
        <v>2720783.6399999997</v>
      </c>
      <c r="H119" s="167">
        <f t="shared" si="27"/>
        <v>447071.26519238553</v>
      </c>
      <c r="I119" s="317">
        <f t="shared" si="28"/>
        <v>447071.26519238553</v>
      </c>
      <c r="J119" s="162">
        <f t="shared" si="18"/>
        <v>0</v>
      </c>
      <c r="K119" s="162"/>
      <c r="L119" s="335"/>
      <c r="M119" s="162">
        <f t="shared" si="20"/>
        <v>0</v>
      </c>
      <c r="N119" s="335"/>
      <c r="O119" s="162">
        <f t="shared" si="22"/>
        <v>0</v>
      </c>
      <c r="P119" s="162">
        <f t="shared" si="23"/>
        <v>0</v>
      </c>
    </row>
    <row r="120" spans="2:16">
      <c r="B120" s="9" t="str">
        <f t="shared" si="24"/>
        <v/>
      </c>
      <c r="C120" s="157">
        <f>IF(D93="","-",+C119+1)</f>
        <v>2030</v>
      </c>
      <c r="D120" s="158">
        <f>IF(F119+SUM(E$99:E119)=D$92,F119,D$92-SUM(E$99:E119))</f>
        <v>2669817.1399999997</v>
      </c>
      <c r="E120" s="165">
        <f>IF(+J96&lt;F119,J96,D120)</f>
        <v>101933</v>
      </c>
      <c r="F120" s="163">
        <f t="shared" si="25"/>
        <v>2567884.1399999997</v>
      </c>
      <c r="G120" s="163">
        <f t="shared" si="26"/>
        <v>2618850.6399999997</v>
      </c>
      <c r="H120" s="167">
        <f t="shared" si="27"/>
        <v>434140.80711823475</v>
      </c>
      <c r="I120" s="317">
        <f t="shared" si="28"/>
        <v>434140.80711823475</v>
      </c>
      <c r="J120" s="162">
        <f t="shared" si="18"/>
        <v>0</v>
      </c>
      <c r="K120" s="162"/>
      <c r="L120" s="335"/>
      <c r="M120" s="162">
        <f t="shared" si="20"/>
        <v>0</v>
      </c>
      <c r="N120" s="335"/>
      <c r="O120" s="162">
        <f t="shared" si="22"/>
        <v>0</v>
      </c>
      <c r="P120" s="162">
        <f t="shared" si="23"/>
        <v>0</v>
      </c>
    </row>
    <row r="121" spans="2:16">
      <c r="B121" s="9" t="str">
        <f t="shared" si="24"/>
        <v/>
      </c>
      <c r="C121" s="157">
        <f>IF(D93="","-",+C120+1)</f>
        <v>2031</v>
      </c>
      <c r="D121" s="158">
        <f>IF(F120+SUM(E$99:E120)=D$92,F120,D$92-SUM(E$99:E120))</f>
        <v>2567884.1399999997</v>
      </c>
      <c r="E121" s="165">
        <f>IF(+J96&lt;F120,J96,D121)</f>
        <v>101933</v>
      </c>
      <c r="F121" s="163">
        <f t="shared" si="25"/>
        <v>2465951.1399999997</v>
      </c>
      <c r="G121" s="163">
        <f t="shared" si="26"/>
        <v>2516917.6399999997</v>
      </c>
      <c r="H121" s="167">
        <f t="shared" si="27"/>
        <v>421210.34904408391</v>
      </c>
      <c r="I121" s="317">
        <f t="shared" si="28"/>
        <v>421210.34904408391</v>
      </c>
      <c r="J121" s="162">
        <f t="shared" si="18"/>
        <v>0</v>
      </c>
      <c r="K121" s="162"/>
      <c r="L121" s="335"/>
      <c r="M121" s="162">
        <f t="shared" si="20"/>
        <v>0</v>
      </c>
      <c r="N121" s="335"/>
      <c r="O121" s="162">
        <f t="shared" si="22"/>
        <v>0</v>
      </c>
      <c r="P121" s="162">
        <f t="shared" si="23"/>
        <v>0</v>
      </c>
    </row>
    <row r="122" spans="2:16">
      <c r="B122" s="9" t="str">
        <f t="shared" si="24"/>
        <v/>
      </c>
      <c r="C122" s="157">
        <f>IF(D93="","-",+C121+1)</f>
        <v>2032</v>
      </c>
      <c r="D122" s="158">
        <f>IF(F121+SUM(E$99:E121)=D$92,F121,D$92-SUM(E$99:E121))</f>
        <v>2465951.1399999997</v>
      </c>
      <c r="E122" s="165">
        <f>IF(+J96&lt;F121,J96,D122)</f>
        <v>101933</v>
      </c>
      <c r="F122" s="163">
        <f t="shared" si="25"/>
        <v>2364018.1399999997</v>
      </c>
      <c r="G122" s="163">
        <f t="shared" si="26"/>
        <v>2414984.6399999997</v>
      </c>
      <c r="H122" s="167">
        <f t="shared" si="27"/>
        <v>408279.89096993313</v>
      </c>
      <c r="I122" s="317">
        <f t="shared" si="28"/>
        <v>408279.89096993313</v>
      </c>
      <c r="J122" s="162">
        <f t="shared" si="18"/>
        <v>0</v>
      </c>
      <c r="K122" s="162"/>
      <c r="L122" s="335"/>
      <c r="M122" s="162">
        <f t="shared" si="20"/>
        <v>0</v>
      </c>
      <c r="N122" s="335"/>
      <c r="O122" s="162">
        <f t="shared" si="22"/>
        <v>0</v>
      </c>
      <c r="P122" s="162">
        <f t="shared" si="23"/>
        <v>0</v>
      </c>
    </row>
    <row r="123" spans="2:16">
      <c r="B123" s="9" t="str">
        <f t="shared" si="24"/>
        <v/>
      </c>
      <c r="C123" s="157">
        <f>IF(D93="","-",+C122+1)</f>
        <v>2033</v>
      </c>
      <c r="D123" s="158">
        <f>IF(F122+SUM(E$99:E122)=D$92,F122,D$92-SUM(E$99:E122))</f>
        <v>2364018.1399999997</v>
      </c>
      <c r="E123" s="165">
        <f>IF(+J96&lt;F122,J96,D123)</f>
        <v>101933</v>
      </c>
      <c r="F123" s="163">
        <f t="shared" si="25"/>
        <v>2262085.1399999997</v>
      </c>
      <c r="G123" s="163">
        <f t="shared" si="26"/>
        <v>2313051.6399999997</v>
      </c>
      <c r="H123" s="167">
        <f t="shared" si="27"/>
        <v>395349.43289578229</v>
      </c>
      <c r="I123" s="317">
        <f t="shared" si="28"/>
        <v>395349.43289578229</v>
      </c>
      <c r="J123" s="162">
        <f t="shared" si="18"/>
        <v>0</v>
      </c>
      <c r="K123" s="162"/>
      <c r="L123" s="335"/>
      <c r="M123" s="162">
        <f t="shared" si="20"/>
        <v>0</v>
      </c>
      <c r="N123" s="335"/>
      <c r="O123" s="162">
        <f t="shared" si="22"/>
        <v>0</v>
      </c>
      <c r="P123" s="162">
        <f t="shared" si="23"/>
        <v>0</v>
      </c>
    </row>
    <row r="124" spans="2:16">
      <c r="B124" s="9" t="str">
        <f t="shared" si="24"/>
        <v/>
      </c>
      <c r="C124" s="157">
        <f>IF(D93="","-",+C123+1)</f>
        <v>2034</v>
      </c>
      <c r="D124" s="158">
        <f>IF(F123+SUM(E$99:E123)=D$92,F123,D$92-SUM(E$99:E123))</f>
        <v>2262085.1399999997</v>
      </c>
      <c r="E124" s="165">
        <f>IF(+J96&lt;F123,J96,D124)</f>
        <v>101933</v>
      </c>
      <c r="F124" s="163">
        <f t="shared" si="25"/>
        <v>2160152.1399999997</v>
      </c>
      <c r="G124" s="163">
        <f t="shared" si="26"/>
        <v>2211118.6399999997</v>
      </c>
      <c r="H124" s="167">
        <f t="shared" si="27"/>
        <v>382418.97482163151</v>
      </c>
      <c r="I124" s="317">
        <f t="shared" si="28"/>
        <v>382418.97482163151</v>
      </c>
      <c r="J124" s="162">
        <f t="shared" si="18"/>
        <v>0</v>
      </c>
      <c r="K124" s="162"/>
      <c r="L124" s="335"/>
      <c r="M124" s="162">
        <f t="shared" si="20"/>
        <v>0</v>
      </c>
      <c r="N124" s="335"/>
      <c r="O124" s="162">
        <f t="shared" si="22"/>
        <v>0</v>
      </c>
      <c r="P124" s="162">
        <f t="shared" si="23"/>
        <v>0</v>
      </c>
    </row>
    <row r="125" spans="2:16">
      <c r="B125" s="9" t="str">
        <f t="shared" si="24"/>
        <v/>
      </c>
      <c r="C125" s="157">
        <f>IF(D93="","-",+C124+1)</f>
        <v>2035</v>
      </c>
      <c r="D125" s="158">
        <f>IF(F124+SUM(E$99:E124)=D$92,F124,D$92-SUM(E$99:E124))</f>
        <v>2160152.1399999997</v>
      </c>
      <c r="E125" s="165">
        <f>IF(+J96&lt;F124,J96,D125)</f>
        <v>101933</v>
      </c>
      <c r="F125" s="163">
        <f t="shared" si="25"/>
        <v>2058219.1399999997</v>
      </c>
      <c r="G125" s="163">
        <f t="shared" si="26"/>
        <v>2109185.6399999997</v>
      </c>
      <c r="H125" s="167">
        <f t="shared" si="27"/>
        <v>369488.51674748067</v>
      </c>
      <c r="I125" s="317">
        <f t="shared" si="28"/>
        <v>369488.51674748067</v>
      </c>
      <c r="J125" s="162">
        <f t="shared" si="18"/>
        <v>0</v>
      </c>
      <c r="K125" s="162"/>
      <c r="L125" s="335"/>
      <c r="M125" s="162">
        <f t="shared" si="20"/>
        <v>0</v>
      </c>
      <c r="N125" s="335"/>
      <c r="O125" s="162">
        <f t="shared" si="22"/>
        <v>0</v>
      </c>
      <c r="P125" s="162">
        <f t="shared" si="23"/>
        <v>0</v>
      </c>
    </row>
    <row r="126" spans="2:16">
      <c r="B126" s="9" t="str">
        <f t="shared" si="24"/>
        <v/>
      </c>
      <c r="C126" s="157">
        <f>IF(D93="","-",+C125+1)</f>
        <v>2036</v>
      </c>
      <c r="D126" s="158">
        <f>IF(F125+SUM(E$99:E125)=D$92,F125,D$92-SUM(E$99:E125))</f>
        <v>2058219.1399999997</v>
      </c>
      <c r="E126" s="165">
        <f>IF(+J96&lt;F125,J96,D126)</f>
        <v>101933</v>
      </c>
      <c r="F126" s="163">
        <f t="shared" si="25"/>
        <v>1956286.1399999997</v>
      </c>
      <c r="G126" s="163">
        <f t="shared" si="26"/>
        <v>2007252.6399999997</v>
      </c>
      <c r="H126" s="167">
        <f t="shared" si="27"/>
        <v>356558.05867332988</v>
      </c>
      <c r="I126" s="317">
        <f t="shared" si="28"/>
        <v>356558.05867332988</v>
      </c>
      <c r="J126" s="162">
        <f t="shared" si="18"/>
        <v>0</v>
      </c>
      <c r="K126" s="162"/>
      <c r="L126" s="335"/>
      <c r="M126" s="162">
        <f t="shared" si="20"/>
        <v>0</v>
      </c>
      <c r="N126" s="335"/>
      <c r="O126" s="162">
        <f t="shared" si="22"/>
        <v>0</v>
      </c>
      <c r="P126" s="162">
        <f t="shared" si="23"/>
        <v>0</v>
      </c>
    </row>
    <row r="127" spans="2:16">
      <c r="B127" s="9" t="str">
        <f t="shared" si="24"/>
        <v/>
      </c>
      <c r="C127" s="157">
        <f>IF(D93="","-",+C126+1)</f>
        <v>2037</v>
      </c>
      <c r="D127" s="158">
        <f>IF(F126+SUM(E$99:E126)=D$92,F126,D$92-SUM(E$99:E126))</f>
        <v>1956286.1399999997</v>
      </c>
      <c r="E127" s="165">
        <f>IF(+J96&lt;F126,J96,D127)</f>
        <v>101933</v>
      </c>
      <c r="F127" s="163">
        <f t="shared" si="25"/>
        <v>1854353.1399999997</v>
      </c>
      <c r="G127" s="163">
        <f t="shared" si="26"/>
        <v>1905319.6399999997</v>
      </c>
      <c r="H127" s="167">
        <f t="shared" si="27"/>
        <v>343627.60059917904</v>
      </c>
      <c r="I127" s="317">
        <f t="shared" si="28"/>
        <v>343627.60059917904</v>
      </c>
      <c r="J127" s="162">
        <f t="shared" si="18"/>
        <v>0</v>
      </c>
      <c r="K127" s="162"/>
      <c r="L127" s="335"/>
      <c r="M127" s="162">
        <f t="shared" si="20"/>
        <v>0</v>
      </c>
      <c r="N127" s="335"/>
      <c r="O127" s="162">
        <f t="shared" si="22"/>
        <v>0</v>
      </c>
      <c r="P127" s="162">
        <f t="shared" si="23"/>
        <v>0</v>
      </c>
    </row>
    <row r="128" spans="2:16">
      <c r="B128" s="9" t="str">
        <f t="shared" si="24"/>
        <v/>
      </c>
      <c r="C128" s="157">
        <f>IF(D93="","-",+C127+1)</f>
        <v>2038</v>
      </c>
      <c r="D128" s="158">
        <f>IF(F127+SUM(E$99:E127)=D$92,F127,D$92-SUM(E$99:E127))</f>
        <v>1854353.1399999997</v>
      </c>
      <c r="E128" s="165">
        <f>IF(+J96&lt;F127,J96,D128)</f>
        <v>101933</v>
      </c>
      <c r="F128" s="163">
        <f t="shared" si="25"/>
        <v>1752420.1399999997</v>
      </c>
      <c r="G128" s="163">
        <f t="shared" si="26"/>
        <v>1803386.6399999997</v>
      </c>
      <c r="H128" s="167">
        <f t="shared" si="27"/>
        <v>330697.1425250282</v>
      </c>
      <c r="I128" s="317">
        <f t="shared" si="28"/>
        <v>330697.1425250282</v>
      </c>
      <c r="J128" s="162">
        <f t="shared" si="18"/>
        <v>0</v>
      </c>
      <c r="K128" s="162"/>
      <c r="L128" s="335"/>
      <c r="M128" s="162">
        <f t="shared" si="20"/>
        <v>0</v>
      </c>
      <c r="N128" s="335"/>
      <c r="O128" s="162">
        <f t="shared" si="22"/>
        <v>0</v>
      </c>
      <c r="P128" s="162">
        <f t="shared" si="23"/>
        <v>0</v>
      </c>
    </row>
    <row r="129" spans="2:16">
      <c r="B129" s="9" t="str">
        <f t="shared" si="24"/>
        <v/>
      </c>
      <c r="C129" s="157">
        <f>IF(D93="","-",+C128+1)</f>
        <v>2039</v>
      </c>
      <c r="D129" s="158">
        <f>IF(F128+SUM(E$99:E128)=D$92,F128,D$92-SUM(E$99:E128))</f>
        <v>1752420.1399999997</v>
      </c>
      <c r="E129" s="165">
        <f>IF(+J96&lt;F128,J96,D129)</f>
        <v>101933</v>
      </c>
      <c r="F129" s="163">
        <f t="shared" si="25"/>
        <v>1650487.1399999997</v>
      </c>
      <c r="G129" s="163">
        <f t="shared" si="26"/>
        <v>1701453.6399999997</v>
      </c>
      <c r="H129" s="167">
        <f t="shared" si="27"/>
        <v>317766.68445087742</v>
      </c>
      <c r="I129" s="317">
        <f t="shared" si="28"/>
        <v>317766.68445087742</v>
      </c>
      <c r="J129" s="162">
        <f t="shared" si="18"/>
        <v>0</v>
      </c>
      <c r="K129" s="162"/>
      <c r="L129" s="335"/>
      <c r="M129" s="162">
        <f t="shared" si="20"/>
        <v>0</v>
      </c>
      <c r="N129" s="335"/>
      <c r="O129" s="162">
        <f t="shared" si="22"/>
        <v>0</v>
      </c>
      <c r="P129" s="162">
        <f t="shared" si="23"/>
        <v>0</v>
      </c>
    </row>
    <row r="130" spans="2:16">
      <c r="B130" s="9" t="str">
        <f t="shared" si="24"/>
        <v/>
      </c>
      <c r="C130" s="157">
        <f>IF(D93="","-",+C129+1)</f>
        <v>2040</v>
      </c>
      <c r="D130" s="158">
        <f>IF(F129+SUM(E$99:E129)=D$92,F129,D$92-SUM(E$99:E129))</f>
        <v>1650487.1399999997</v>
      </c>
      <c r="E130" s="165">
        <f>IF(+J96&lt;F129,J96,D130)</f>
        <v>101933</v>
      </c>
      <c r="F130" s="163">
        <f t="shared" si="25"/>
        <v>1548554.1399999997</v>
      </c>
      <c r="G130" s="163">
        <f t="shared" si="26"/>
        <v>1599520.6399999997</v>
      </c>
      <c r="H130" s="167">
        <f t="shared" si="27"/>
        <v>304836.22637672664</v>
      </c>
      <c r="I130" s="317">
        <f t="shared" si="28"/>
        <v>304836.22637672664</v>
      </c>
      <c r="J130" s="162">
        <f t="shared" si="18"/>
        <v>0</v>
      </c>
      <c r="K130" s="162"/>
      <c r="L130" s="335"/>
      <c r="M130" s="162">
        <f t="shared" si="20"/>
        <v>0</v>
      </c>
      <c r="N130" s="335"/>
      <c r="O130" s="162">
        <f t="shared" si="22"/>
        <v>0</v>
      </c>
      <c r="P130" s="162">
        <f t="shared" si="23"/>
        <v>0</v>
      </c>
    </row>
    <row r="131" spans="2:16">
      <c r="B131" s="9" t="str">
        <f t="shared" si="24"/>
        <v/>
      </c>
      <c r="C131" s="157">
        <f>IF(D93="","-",+C130+1)</f>
        <v>2041</v>
      </c>
      <c r="D131" s="158">
        <f>IF(F130+SUM(E$99:E130)=D$92,F130,D$92-SUM(E$99:E130))</f>
        <v>1548554.1399999997</v>
      </c>
      <c r="E131" s="165">
        <f>IF(+J96&lt;F130,J96,D131)</f>
        <v>101933</v>
      </c>
      <c r="F131" s="163">
        <f t="shared" ref="F131:F154" si="29">+D131-E131</f>
        <v>1446621.1399999997</v>
      </c>
      <c r="G131" s="163">
        <f t="shared" ref="G131:G154" si="30">+(F131+D131)/2</f>
        <v>1497587.6399999997</v>
      </c>
      <c r="H131" s="167">
        <f t="shared" si="27"/>
        <v>291905.7683025758</v>
      </c>
      <c r="I131" s="317">
        <f t="shared" si="28"/>
        <v>291905.7683025758</v>
      </c>
      <c r="J131" s="162">
        <f t="shared" ref="J131:J154" si="31">+I131-H131</f>
        <v>0</v>
      </c>
      <c r="K131" s="162"/>
      <c r="L131" s="335"/>
      <c r="M131" s="162">
        <f t="shared" ref="M131:M154" si="32">IF(L131&lt;&gt;0,+H131-L131,0)</f>
        <v>0</v>
      </c>
      <c r="N131" s="335"/>
      <c r="O131" s="162">
        <f t="shared" ref="O131:O154" si="33">IF(N131&lt;&gt;0,+I131-N131,0)</f>
        <v>0</v>
      </c>
      <c r="P131" s="162">
        <f t="shared" ref="P131:P154" si="34">+O131-M131</f>
        <v>0</v>
      </c>
    </row>
    <row r="132" spans="2:16">
      <c r="B132" s="9" t="str">
        <f t="shared" si="24"/>
        <v/>
      </c>
      <c r="C132" s="157">
        <f>IF(D93="","-",+C131+1)</f>
        <v>2042</v>
      </c>
      <c r="D132" s="158">
        <f>IF(F131+SUM(E$99:E131)=D$92,F131,D$92-SUM(E$99:E131))</f>
        <v>1446621.1399999997</v>
      </c>
      <c r="E132" s="165">
        <f>IF(+J96&lt;F131,J96,D132)</f>
        <v>101933</v>
      </c>
      <c r="F132" s="163">
        <f t="shared" si="29"/>
        <v>1344688.1399999997</v>
      </c>
      <c r="G132" s="163">
        <f t="shared" si="30"/>
        <v>1395654.6399999997</v>
      </c>
      <c r="H132" s="167">
        <f t="shared" si="27"/>
        <v>278975.31022842496</v>
      </c>
      <c r="I132" s="317">
        <f t="shared" si="28"/>
        <v>278975.31022842496</v>
      </c>
      <c r="J132" s="162">
        <f t="shared" si="31"/>
        <v>0</v>
      </c>
      <c r="K132" s="162"/>
      <c r="L132" s="335"/>
      <c r="M132" s="162">
        <f t="shared" si="32"/>
        <v>0</v>
      </c>
      <c r="N132" s="335"/>
      <c r="O132" s="162">
        <f t="shared" si="33"/>
        <v>0</v>
      </c>
      <c r="P132" s="162">
        <f t="shared" si="34"/>
        <v>0</v>
      </c>
    </row>
    <row r="133" spans="2:16">
      <c r="B133" s="9" t="str">
        <f t="shared" si="24"/>
        <v/>
      </c>
      <c r="C133" s="157">
        <f>IF(D93="","-",+C132+1)</f>
        <v>2043</v>
      </c>
      <c r="D133" s="158">
        <f>IF(F132+SUM(E$99:E132)=D$92,F132,D$92-SUM(E$99:E132))</f>
        <v>1344688.1399999997</v>
      </c>
      <c r="E133" s="165">
        <f>IF(+J96&lt;F132,J96,D133)</f>
        <v>101933</v>
      </c>
      <c r="F133" s="163">
        <f t="shared" si="29"/>
        <v>1242755.1399999997</v>
      </c>
      <c r="G133" s="163">
        <f t="shared" si="30"/>
        <v>1293721.6399999997</v>
      </c>
      <c r="H133" s="167">
        <f t="shared" si="27"/>
        <v>266044.85215427412</v>
      </c>
      <c r="I133" s="317">
        <f t="shared" si="28"/>
        <v>266044.85215427412</v>
      </c>
      <c r="J133" s="162">
        <f t="shared" si="31"/>
        <v>0</v>
      </c>
      <c r="K133" s="162"/>
      <c r="L133" s="335"/>
      <c r="M133" s="162">
        <f t="shared" si="32"/>
        <v>0</v>
      </c>
      <c r="N133" s="335"/>
      <c r="O133" s="162">
        <f t="shared" si="33"/>
        <v>0</v>
      </c>
      <c r="P133" s="162">
        <f t="shared" si="34"/>
        <v>0</v>
      </c>
    </row>
    <row r="134" spans="2:16">
      <c r="B134" s="9" t="str">
        <f t="shared" si="24"/>
        <v/>
      </c>
      <c r="C134" s="157">
        <f>IF(D93="","-",+C133+1)</f>
        <v>2044</v>
      </c>
      <c r="D134" s="158">
        <f>IF(F133+SUM(E$99:E133)=D$92,F133,D$92-SUM(E$99:E133))</f>
        <v>1242755.1399999997</v>
      </c>
      <c r="E134" s="165">
        <f>IF(+J96&lt;F133,J96,D134)</f>
        <v>101933</v>
      </c>
      <c r="F134" s="163">
        <f t="shared" si="29"/>
        <v>1140822.1399999997</v>
      </c>
      <c r="G134" s="163">
        <f t="shared" si="30"/>
        <v>1191788.6399999997</v>
      </c>
      <c r="H134" s="167">
        <f t="shared" si="27"/>
        <v>253114.39408012334</v>
      </c>
      <c r="I134" s="317">
        <f t="shared" si="28"/>
        <v>253114.39408012334</v>
      </c>
      <c r="J134" s="162">
        <f t="shared" si="31"/>
        <v>0</v>
      </c>
      <c r="K134" s="162"/>
      <c r="L134" s="335"/>
      <c r="M134" s="162">
        <f t="shared" si="32"/>
        <v>0</v>
      </c>
      <c r="N134" s="335"/>
      <c r="O134" s="162">
        <f t="shared" si="33"/>
        <v>0</v>
      </c>
      <c r="P134" s="162">
        <f t="shared" si="34"/>
        <v>0</v>
      </c>
    </row>
    <row r="135" spans="2:16">
      <c r="B135" s="9" t="str">
        <f t="shared" si="24"/>
        <v/>
      </c>
      <c r="C135" s="157">
        <f>IF(D93="","-",+C134+1)</f>
        <v>2045</v>
      </c>
      <c r="D135" s="158">
        <f>IF(F134+SUM(E$99:E134)=D$92,F134,D$92-SUM(E$99:E134))</f>
        <v>1140822.1399999997</v>
      </c>
      <c r="E135" s="165">
        <f>IF(+J96&lt;F134,J96,D135)</f>
        <v>101933</v>
      </c>
      <c r="F135" s="163">
        <f t="shared" si="29"/>
        <v>1038889.1399999997</v>
      </c>
      <c r="G135" s="163">
        <f t="shared" si="30"/>
        <v>1089855.6399999997</v>
      </c>
      <c r="H135" s="167">
        <f t="shared" si="27"/>
        <v>240183.93600597253</v>
      </c>
      <c r="I135" s="317">
        <f t="shared" si="28"/>
        <v>240183.93600597253</v>
      </c>
      <c r="J135" s="162">
        <f t="shared" si="31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4"/>
        <v>0</v>
      </c>
    </row>
    <row r="136" spans="2:16">
      <c r="B136" s="9" t="str">
        <f t="shared" si="24"/>
        <v/>
      </c>
      <c r="C136" s="157">
        <f>IF(D93="","-",+C135+1)</f>
        <v>2046</v>
      </c>
      <c r="D136" s="158">
        <f>IF(F135+SUM(E$99:E135)=D$92,F135,D$92-SUM(E$99:E135))</f>
        <v>1038889.1399999997</v>
      </c>
      <c r="E136" s="165">
        <f>IF(+J96&lt;F135,J96,D136)</f>
        <v>101933</v>
      </c>
      <c r="F136" s="163">
        <f t="shared" si="29"/>
        <v>936956.13999999966</v>
      </c>
      <c r="G136" s="163">
        <f t="shared" si="30"/>
        <v>987922.63999999966</v>
      </c>
      <c r="H136" s="167">
        <f t="shared" si="27"/>
        <v>227253.47793182172</v>
      </c>
      <c r="I136" s="317">
        <f t="shared" si="28"/>
        <v>227253.47793182172</v>
      </c>
      <c r="J136" s="162">
        <f t="shared" si="31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4"/>
        <v>0</v>
      </c>
    </row>
    <row r="137" spans="2:16">
      <c r="B137" s="9" t="str">
        <f t="shared" si="24"/>
        <v/>
      </c>
      <c r="C137" s="157">
        <f>IF(D93="","-",+C136+1)</f>
        <v>2047</v>
      </c>
      <c r="D137" s="158">
        <f>IF(F136+SUM(E$99:E136)=D$92,F136,D$92-SUM(E$99:E136))</f>
        <v>936956.13999999966</v>
      </c>
      <c r="E137" s="165">
        <f>IF(+J96&lt;F136,J96,D137)</f>
        <v>101933</v>
      </c>
      <c r="F137" s="163">
        <f t="shared" si="29"/>
        <v>835023.13999999966</v>
      </c>
      <c r="G137" s="163">
        <f t="shared" si="30"/>
        <v>885989.63999999966</v>
      </c>
      <c r="H137" s="167">
        <f t="shared" si="27"/>
        <v>214323.01985767091</v>
      </c>
      <c r="I137" s="317">
        <f t="shared" si="28"/>
        <v>214323.01985767091</v>
      </c>
      <c r="J137" s="162">
        <f t="shared" si="31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4"/>
        <v>0</v>
      </c>
    </row>
    <row r="138" spans="2:16">
      <c r="B138" s="9" t="str">
        <f t="shared" si="24"/>
        <v/>
      </c>
      <c r="C138" s="157">
        <f>IF(D93="","-",+C137+1)</f>
        <v>2048</v>
      </c>
      <c r="D138" s="158">
        <f>IF(F137+SUM(E$99:E137)=D$92,F137,D$92-SUM(E$99:E137))</f>
        <v>835023.13999999966</v>
      </c>
      <c r="E138" s="165">
        <f>IF(+J96&lt;F137,J96,D138)</f>
        <v>101933</v>
      </c>
      <c r="F138" s="163">
        <f t="shared" si="29"/>
        <v>733090.13999999966</v>
      </c>
      <c r="G138" s="163">
        <f t="shared" si="30"/>
        <v>784056.63999999966</v>
      </c>
      <c r="H138" s="167">
        <f t="shared" si="27"/>
        <v>201392.5617835201</v>
      </c>
      <c r="I138" s="317">
        <f t="shared" si="28"/>
        <v>201392.5617835201</v>
      </c>
      <c r="J138" s="162">
        <f t="shared" si="31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4"/>
        <v>0</v>
      </c>
    </row>
    <row r="139" spans="2:16">
      <c r="B139" s="9" t="str">
        <f t="shared" si="24"/>
        <v/>
      </c>
      <c r="C139" s="157">
        <f>IF(D93="","-",+C138+1)</f>
        <v>2049</v>
      </c>
      <c r="D139" s="158">
        <f>IF(F138+SUM(E$99:E138)=D$92,F138,D$92-SUM(E$99:E138))</f>
        <v>733090.13999999966</v>
      </c>
      <c r="E139" s="165">
        <f>IF(+J96&lt;F138,J96,D139)</f>
        <v>101933</v>
      </c>
      <c r="F139" s="163">
        <f t="shared" si="29"/>
        <v>631157.13999999966</v>
      </c>
      <c r="G139" s="163">
        <f t="shared" si="30"/>
        <v>682123.63999999966</v>
      </c>
      <c r="H139" s="167">
        <f t="shared" si="27"/>
        <v>188462.10370936926</v>
      </c>
      <c r="I139" s="317">
        <f t="shared" si="28"/>
        <v>188462.10370936926</v>
      </c>
      <c r="J139" s="162">
        <f t="shared" si="31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4"/>
        <v>0</v>
      </c>
    </row>
    <row r="140" spans="2:16">
      <c r="B140" s="9" t="str">
        <f t="shared" si="24"/>
        <v/>
      </c>
      <c r="C140" s="157">
        <f>IF(D93="","-",+C139+1)</f>
        <v>2050</v>
      </c>
      <c r="D140" s="158">
        <f>IF(F139+SUM(E$99:E139)=D$92,F139,D$92-SUM(E$99:E139))</f>
        <v>631157.13999999966</v>
      </c>
      <c r="E140" s="165">
        <f>IF(+J96&lt;F139,J96,D140)</f>
        <v>101933</v>
      </c>
      <c r="F140" s="163">
        <f t="shared" si="29"/>
        <v>529224.13999999966</v>
      </c>
      <c r="G140" s="163">
        <f t="shared" si="30"/>
        <v>580190.63999999966</v>
      </c>
      <c r="H140" s="167">
        <f t="shared" si="27"/>
        <v>175531.64563521848</v>
      </c>
      <c r="I140" s="317">
        <f t="shared" si="28"/>
        <v>175531.64563521848</v>
      </c>
      <c r="J140" s="162">
        <f t="shared" si="31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4"/>
        <v>0</v>
      </c>
    </row>
    <row r="141" spans="2:16">
      <c r="B141" s="9" t="str">
        <f t="shared" si="24"/>
        <v/>
      </c>
      <c r="C141" s="157">
        <f>IF(D93="","-",+C140+1)</f>
        <v>2051</v>
      </c>
      <c r="D141" s="158">
        <f>IF(F140+SUM(E$99:E140)=D$92,F140,D$92-SUM(E$99:E140))</f>
        <v>529224.13999999966</v>
      </c>
      <c r="E141" s="165">
        <f>IF(+J96&lt;F140,J96,D141)</f>
        <v>101933</v>
      </c>
      <c r="F141" s="163">
        <f t="shared" si="29"/>
        <v>427291.13999999966</v>
      </c>
      <c r="G141" s="163">
        <f t="shared" si="30"/>
        <v>478257.63999999966</v>
      </c>
      <c r="H141" s="167">
        <f t="shared" si="27"/>
        <v>162601.18756106764</v>
      </c>
      <c r="I141" s="317">
        <f t="shared" si="28"/>
        <v>162601.18756106764</v>
      </c>
      <c r="J141" s="162">
        <f t="shared" si="31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4"/>
        <v>0</v>
      </c>
    </row>
    <row r="142" spans="2:16">
      <c r="B142" s="9" t="str">
        <f t="shared" si="24"/>
        <v/>
      </c>
      <c r="C142" s="157">
        <f>IF(D93="","-",+C141+1)</f>
        <v>2052</v>
      </c>
      <c r="D142" s="158">
        <f>IF(F141+SUM(E$99:E141)=D$92,F141,D$92-SUM(E$99:E141))</f>
        <v>427291.13999999966</v>
      </c>
      <c r="E142" s="165">
        <f>IF(+J96&lt;F141,J96,D142)</f>
        <v>101933</v>
      </c>
      <c r="F142" s="163">
        <f t="shared" si="29"/>
        <v>325358.13999999966</v>
      </c>
      <c r="G142" s="163">
        <f t="shared" si="30"/>
        <v>376324.63999999966</v>
      </c>
      <c r="H142" s="167">
        <f t="shared" si="27"/>
        <v>149670.72948691685</v>
      </c>
      <c r="I142" s="317">
        <f t="shared" si="28"/>
        <v>149670.72948691685</v>
      </c>
      <c r="J142" s="162">
        <f t="shared" si="31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4"/>
        <v>0</v>
      </c>
    </row>
    <row r="143" spans="2:16">
      <c r="B143" s="9" t="str">
        <f t="shared" si="24"/>
        <v/>
      </c>
      <c r="C143" s="157">
        <f>IF(D93="","-",+C142+1)</f>
        <v>2053</v>
      </c>
      <c r="D143" s="158">
        <f>IF(F142+SUM(E$99:E142)=D$92,F142,D$92-SUM(E$99:E142))</f>
        <v>325358.13999999966</v>
      </c>
      <c r="E143" s="165">
        <f>IF(+J96&lt;F142,J96,D143)</f>
        <v>101933</v>
      </c>
      <c r="F143" s="163">
        <f t="shared" si="29"/>
        <v>223425.13999999966</v>
      </c>
      <c r="G143" s="163">
        <f t="shared" si="30"/>
        <v>274391.63999999966</v>
      </c>
      <c r="H143" s="167">
        <f t="shared" si="27"/>
        <v>136740.27141276601</v>
      </c>
      <c r="I143" s="317">
        <f t="shared" si="28"/>
        <v>136740.27141276601</v>
      </c>
      <c r="J143" s="162">
        <f t="shared" si="31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4"/>
        <v>0</v>
      </c>
    </row>
    <row r="144" spans="2:16">
      <c r="B144" s="9" t="str">
        <f t="shared" si="24"/>
        <v/>
      </c>
      <c r="C144" s="157">
        <f>IF(D93="","-",+C143+1)</f>
        <v>2054</v>
      </c>
      <c r="D144" s="158">
        <f>IF(F143+SUM(E$99:E143)=D$92,F143,D$92-SUM(E$99:E143))</f>
        <v>223425.13999999966</v>
      </c>
      <c r="E144" s="165">
        <f>IF(+J96&lt;F143,J96,D144)</f>
        <v>101933</v>
      </c>
      <c r="F144" s="163">
        <f t="shared" si="29"/>
        <v>121492.13999999966</v>
      </c>
      <c r="G144" s="163">
        <f t="shared" si="30"/>
        <v>172458.63999999966</v>
      </c>
      <c r="H144" s="167">
        <f t="shared" si="27"/>
        <v>123809.8133386152</v>
      </c>
      <c r="I144" s="317">
        <f t="shared" si="28"/>
        <v>123809.8133386152</v>
      </c>
      <c r="J144" s="162">
        <f t="shared" si="31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4"/>
        <v>0</v>
      </c>
    </row>
    <row r="145" spans="2:16">
      <c r="B145" s="9" t="str">
        <f t="shared" si="24"/>
        <v/>
      </c>
      <c r="C145" s="157">
        <f>IF(D93="","-",+C144+1)</f>
        <v>2055</v>
      </c>
      <c r="D145" s="158">
        <f>IF(F144+SUM(E$99:E144)=D$92,F144,D$92-SUM(E$99:E144))</f>
        <v>121492.13999999966</v>
      </c>
      <c r="E145" s="165">
        <f>IF(+J96&lt;F144,J96,D145)</f>
        <v>101933</v>
      </c>
      <c r="F145" s="163">
        <f t="shared" si="29"/>
        <v>19559.139999999665</v>
      </c>
      <c r="G145" s="163">
        <f t="shared" si="30"/>
        <v>70525.639999999665</v>
      </c>
      <c r="H145" s="167">
        <f t="shared" si="27"/>
        <v>110879.35526446439</v>
      </c>
      <c r="I145" s="317">
        <f t="shared" si="28"/>
        <v>110879.35526446439</v>
      </c>
      <c r="J145" s="162">
        <f t="shared" si="31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4"/>
        <v>0</v>
      </c>
    </row>
    <row r="146" spans="2:16">
      <c r="B146" s="9" t="str">
        <f t="shared" si="24"/>
        <v/>
      </c>
      <c r="C146" s="157">
        <f>IF(D93="","-",+C145+1)</f>
        <v>2056</v>
      </c>
      <c r="D146" s="158">
        <f>IF(F145+SUM(E$99:E145)=D$92,F145,D$92-SUM(E$99:E145))</f>
        <v>19559.139999999665</v>
      </c>
      <c r="E146" s="165">
        <f>IF(+J96&lt;F145,J96,D146)</f>
        <v>19559.139999999665</v>
      </c>
      <c r="F146" s="163">
        <f t="shared" si="29"/>
        <v>0</v>
      </c>
      <c r="G146" s="163">
        <f t="shared" si="30"/>
        <v>9779.5699999998324</v>
      </c>
      <c r="H146" s="167">
        <f t="shared" si="27"/>
        <v>20799.703113694159</v>
      </c>
      <c r="I146" s="317">
        <f t="shared" si="28"/>
        <v>20799.703113694159</v>
      </c>
      <c r="J146" s="162">
        <f t="shared" si="31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4"/>
        <v>0</v>
      </c>
    </row>
    <row r="147" spans="2:16">
      <c r="B147" s="9" t="str">
        <f t="shared" si="24"/>
        <v/>
      </c>
      <c r="C147" s="157">
        <f>IF(D93="","-",+C146+1)</f>
        <v>2057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9"/>
        <v>0</v>
      </c>
      <c r="G147" s="163">
        <f t="shared" si="30"/>
        <v>0</v>
      </c>
      <c r="H147" s="167">
        <f t="shared" si="27"/>
        <v>0</v>
      </c>
      <c r="I147" s="317">
        <f t="shared" si="28"/>
        <v>0</v>
      </c>
      <c r="J147" s="162">
        <f t="shared" si="31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4"/>
        <v>0</v>
      </c>
    </row>
    <row r="148" spans="2:16">
      <c r="B148" s="9" t="str">
        <f t="shared" si="24"/>
        <v/>
      </c>
      <c r="C148" s="157">
        <f>IF(D93="","-",+C147+1)</f>
        <v>2058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9"/>
        <v>0</v>
      </c>
      <c r="G148" s="163">
        <f t="shared" si="30"/>
        <v>0</v>
      </c>
      <c r="H148" s="167">
        <f t="shared" si="27"/>
        <v>0</v>
      </c>
      <c r="I148" s="317">
        <f t="shared" si="28"/>
        <v>0</v>
      </c>
      <c r="J148" s="162">
        <f t="shared" si="31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4"/>
        <v>0</v>
      </c>
    </row>
    <row r="149" spans="2:16">
      <c r="B149" s="9" t="str">
        <f t="shared" si="24"/>
        <v/>
      </c>
      <c r="C149" s="157">
        <f>IF(D93="","-",+C148+1)</f>
        <v>2059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9"/>
        <v>0</v>
      </c>
      <c r="G149" s="163">
        <f t="shared" si="30"/>
        <v>0</v>
      </c>
      <c r="H149" s="167">
        <f t="shared" si="27"/>
        <v>0</v>
      </c>
      <c r="I149" s="317">
        <f t="shared" si="28"/>
        <v>0</v>
      </c>
      <c r="J149" s="162">
        <f t="shared" si="31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4"/>
        <v>0</v>
      </c>
    </row>
    <row r="150" spans="2:16">
      <c r="B150" s="9" t="str">
        <f t="shared" si="24"/>
        <v/>
      </c>
      <c r="C150" s="157">
        <f>IF(D93="","-",+C149+1)</f>
        <v>2060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9"/>
        <v>0</v>
      </c>
      <c r="G150" s="163">
        <f t="shared" si="30"/>
        <v>0</v>
      </c>
      <c r="H150" s="167">
        <f t="shared" si="27"/>
        <v>0</v>
      </c>
      <c r="I150" s="317">
        <f t="shared" si="28"/>
        <v>0</v>
      </c>
      <c r="J150" s="162">
        <f t="shared" si="31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4"/>
        <v>0</v>
      </c>
    </row>
    <row r="151" spans="2:16">
      <c r="B151" s="9" t="str">
        <f t="shared" si="24"/>
        <v/>
      </c>
      <c r="C151" s="157">
        <f>IF(D93="","-",+C150+1)</f>
        <v>2061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9"/>
        <v>0</v>
      </c>
      <c r="G151" s="163">
        <f t="shared" si="30"/>
        <v>0</v>
      </c>
      <c r="H151" s="167">
        <f t="shared" si="27"/>
        <v>0</v>
      </c>
      <c r="I151" s="317">
        <f t="shared" si="28"/>
        <v>0</v>
      </c>
      <c r="J151" s="162">
        <f t="shared" si="31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4"/>
        <v>0</v>
      </c>
    </row>
    <row r="152" spans="2:16">
      <c r="B152" s="9" t="str">
        <f t="shared" si="24"/>
        <v/>
      </c>
      <c r="C152" s="157">
        <f>IF(D93="","-",+C151+1)</f>
        <v>2062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9"/>
        <v>0</v>
      </c>
      <c r="G152" s="163">
        <f t="shared" si="30"/>
        <v>0</v>
      </c>
      <c r="H152" s="167">
        <f t="shared" si="27"/>
        <v>0</v>
      </c>
      <c r="I152" s="317">
        <f t="shared" si="28"/>
        <v>0</v>
      </c>
      <c r="J152" s="162">
        <f t="shared" si="31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4"/>
        <v>0</v>
      </c>
    </row>
    <row r="153" spans="2:16">
      <c r="B153" s="9" t="str">
        <f t="shared" si="24"/>
        <v/>
      </c>
      <c r="C153" s="157">
        <f>IF(D93="","-",+C152+1)</f>
        <v>2063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9"/>
        <v>0</v>
      </c>
      <c r="G153" s="163">
        <f t="shared" si="30"/>
        <v>0</v>
      </c>
      <c r="H153" s="167">
        <f t="shared" si="27"/>
        <v>0</v>
      </c>
      <c r="I153" s="317">
        <f t="shared" si="28"/>
        <v>0</v>
      </c>
      <c r="J153" s="162">
        <f t="shared" si="31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4"/>
        <v>0</v>
      </c>
    </row>
    <row r="154" spans="2:16" ht="13.5" thickBot="1">
      <c r="B154" s="9" t="str">
        <f t="shared" si="24"/>
        <v/>
      </c>
      <c r="C154" s="168">
        <f>IF(D93="","-",+C153+1)</f>
        <v>2064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9"/>
        <v>0</v>
      </c>
      <c r="G154" s="169">
        <f t="shared" si="30"/>
        <v>0</v>
      </c>
      <c r="H154" s="171">
        <f t="shared" si="27"/>
        <v>0</v>
      </c>
      <c r="I154" s="318">
        <f t="shared" si="28"/>
        <v>0</v>
      </c>
      <c r="J154" s="173">
        <f t="shared" si="31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4"/>
        <v>0</v>
      </c>
    </row>
    <row r="155" spans="2:16">
      <c r="C155" s="158" t="s">
        <v>72</v>
      </c>
      <c r="D155" s="115"/>
      <c r="E155" s="115">
        <f>SUM(E99:E154)</f>
        <v>4688896.1399999997</v>
      </c>
      <c r="F155" s="115"/>
      <c r="G155" s="115"/>
      <c r="H155" s="115">
        <f>SUM(H99:H154)</f>
        <v>19269280.007520508</v>
      </c>
      <c r="I155" s="115">
        <f>SUM(I99:I154)</f>
        <v>19269280.007520508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95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102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73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74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56" priority="1" stopIfTrue="1" operator="equal">
      <formula>$I$10</formula>
    </cfRule>
  </conditionalFormatting>
  <conditionalFormatting sqref="C99:C154">
    <cfRule type="cellIs" dxfId="55" priority="2" stopIfTrue="1" operator="equal">
      <formula>$J$92</formula>
    </cfRule>
  </conditionalFormatting>
  <pageMargins left="0.5" right="0.25" top="1" bottom="0.25" header="0.25" footer="0.5"/>
  <pageSetup scale="47" fitToHeight="0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P162"/>
  <sheetViews>
    <sheetView view="pageBreakPreview" zoomScale="75" zoomScaleNormal="100" zoomScaleSheetLayoutView="75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3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1343522.1856703926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1343522.1856703926</v>
      </c>
      <c r="O6" s="1"/>
      <c r="P6" s="1"/>
    </row>
    <row r="7" spans="1:16" ht="13.5" thickBot="1">
      <c r="C7" s="127" t="s">
        <v>41</v>
      </c>
      <c r="D7" s="343" t="s">
        <v>200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76</v>
      </c>
      <c r="E9" s="428" t="s">
        <v>303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11456065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2009</v>
      </c>
      <c r="E11" s="141" t="s">
        <v>49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10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286401.625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C17" s="157">
        <f>IF(D11= "","-",D11)</f>
        <v>2009</v>
      </c>
      <c r="D17" s="366">
        <v>9403820</v>
      </c>
      <c r="E17" s="367">
        <v>29572</v>
      </c>
      <c r="F17" s="366">
        <v>9374248</v>
      </c>
      <c r="G17" s="367">
        <v>388620</v>
      </c>
      <c r="H17" s="367">
        <v>388620</v>
      </c>
      <c r="I17" s="160">
        <f t="shared" ref="I17:I48" si="0">H17-G17</f>
        <v>0</v>
      </c>
      <c r="J17" s="160"/>
      <c r="K17" s="338">
        <v>388620</v>
      </c>
      <c r="L17" s="161">
        <f t="shared" ref="L17:L48" si="1">IF(K17&lt;&gt;0,+G17-K17,0)</f>
        <v>0</v>
      </c>
      <c r="M17" s="338">
        <v>388620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2010</v>
      </c>
      <c r="D18" s="371">
        <v>12236959</v>
      </c>
      <c r="E18" s="368">
        <v>219045</v>
      </c>
      <c r="F18" s="371">
        <v>12017913</v>
      </c>
      <c r="G18" s="368">
        <v>1953188</v>
      </c>
      <c r="H18" s="370">
        <v>1953188</v>
      </c>
      <c r="I18" s="160">
        <f t="shared" si="0"/>
        <v>0</v>
      </c>
      <c r="J18" s="160"/>
      <c r="K18" s="338">
        <f t="shared" ref="K18:K23" si="4">G18</f>
        <v>1953188</v>
      </c>
      <c r="L18" s="272">
        <f t="shared" si="1"/>
        <v>0</v>
      </c>
      <c r="M18" s="338">
        <f t="shared" ref="M18:M23" si="5">H18</f>
        <v>1953188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2011</v>
      </c>
      <c r="D19" s="371">
        <v>11983531</v>
      </c>
      <c r="E19" s="368">
        <v>239846.03921568627</v>
      </c>
      <c r="F19" s="371">
        <v>11743684.960784314</v>
      </c>
      <c r="G19" s="368">
        <v>2078241.729976739</v>
      </c>
      <c r="H19" s="370">
        <v>2078241.729976739</v>
      </c>
      <c r="I19" s="160">
        <f t="shared" si="0"/>
        <v>0</v>
      </c>
      <c r="J19" s="160"/>
      <c r="K19" s="338">
        <f t="shared" si="4"/>
        <v>2078241.729976739</v>
      </c>
      <c r="L19" s="272">
        <f t="shared" si="1"/>
        <v>0</v>
      </c>
      <c r="M19" s="338">
        <f t="shared" si="5"/>
        <v>2078241.729976739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2012</v>
      </c>
      <c r="D20" s="371">
        <v>11743684.960784314</v>
      </c>
      <c r="E20" s="368">
        <v>235233.61538461538</v>
      </c>
      <c r="F20" s="371">
        <v>11508451.345399698</v>
      </c>
      <c r="G20" s="368">
        <v>1837287.5395832672</v>
      </c>
      <c r="H20" s="370">
        <v>1837287.5395832672</v>
      </c>
      <c r="I20" s="160">
        <f t="shared" si="0"/>
        <v>0</v>
      </c>
      <c r="J20" s="160"/>
      <c r="K20" s="338">
        <f t="shared" si="4"/>
        <v>1837287.5395832672</v>
      </c>
      <c r="L20" s="272">
        <f t="shared" si="1"/>
        <v>0</v>
      </c>
      <c r="M20" s="338">
        <f t="shared" si="5"/>
        <v>1837287.5395832672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IF(D12="","-",+C20+1)</f>
        <v>2013</v>
      </c>
      <c r="D21" s="371">
        <v>11508451.345399698</v>
      </c>
      <c r="E21" s="368">
        <v>235233.61538461538</v>
      </c>
      <c r="F21" s="371">
        <v>11273217.730015082</v>
      </c>
      <c r="G21" s="368">
        <v>1845125.3182548014</v>
      </c>
      <c r="H21" s="370">
        <v>1845125.3182548014</v>
      </c>
      <c r="I21" s="160">
        <v>0</v>
      </c>
      <c r="J21" s="160"/>
      <c r="K21" s="338">
        <f t="shared" si="4"/>
        <v>1845125.3182548014</v>
      </c>
      <c r="L21" s="272">
        <f t="shared" ref="L21:L26" si="7">IF(K21&lt;&gt;0,+G21-K21,0)</f>
        <v>0</v>
      </c>
      <c r="M21" s="338">
        <f t="shared" si="5"/>
        <v>1845125.3182548014</v>
      </c>
      <c r="N21" s="162">
        <f t="shared" ref="N21:N26" si="8">IF(M21&lt;&gt;0,+H21-M21,0)</f>
        <v>0</v>
      </c>
      <c r="O21" s="162">
        <f t="shared" ref="O21:O26" si="9">+N21-L21</f>
        <v>0</v>
      </c>
      <c r="P21" s="4"/>
    </row>
    <row r="22" spans="2:16">
      <c r="B22" s="9" t="str">
        <f t="shared" si="6"/>
        <v/>
      </c>
      <c r="C22" s="157">
        <f>IF(D11="","-",+C21+1)</f>
        <v>2014</v>
      </c>
      <c r="D22" s="371">
        <v>11273217.730015082</v>
      </c>
      <c r="E22" s="368">
        <v>235233.61538461538</v>
      </c>
      <c r="F22" s="371">
        <v>11037984.114630466</v>
      </c>
      <c r="G22" s="368">
        <v>1754708.9063952654</v>
      </c>
      <c r="H22" s="370">
        <v>1754708.9063952654</v>
      </c>
      <c r="I22" s="160">
        <v>0</v>
      </c>
      <c r="J22" s="160"/>
      <c r="K22" s="338">
        <f t="shared" si="4"/>
        <v>1754708.9063952654</v>
      </c>
      <c r="L22" s="272">
        <f t="shared" si="7"/>
        <v>0</v>
      </c>
      <c r="M22" s="338">
        <f t="shared" si="5"/>
        <v>1754708.9063952654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>IU</v>
      </c>
      <c r="C23" s="157">
        <f>IF(D11="","-",+C22+1)</f>
        <v>2015</v>
      </c>
      <c r="D23" s="371">
        <v>10261901.114630468</v>
      </c>
      <c r="E23" s="368">
        <v>220308.94230769231</v>
      </c>
      <c r="F23" s="371">
        <v>10041592.172322776</v>
      </c>
      <c r="G23" s="368">
        <v>1604759.8916783908</v>
      </c>
      <c r="H23" s="370">
        <v>1604759.8916783908</v>
      </c>
      <c r="I23" s="160">
        <v>0</v>
      </c>
      <c r="J23" s="160"/>
      <c r="K23" s="338">
        <f t="shared" si="4"/>
        <v>1604759.8916783908</v>
      </c>
      <c r="L23" s="272">
        <f t="shared" si="7"/>
        <v>0</v>
      </c>
      <c r="M23" s="338">
        <f t="shared" si="5"/>
        <v>1604759.8916783908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2016</v>
      </c>
      <c r="D24" s="371">
        <v>10041592.172322776</v>
      </c>
      <c r="E24" s="368">
        <v>220308.94230769231</v>
      </c>
      <c r="F24" s="371">
        <v>9821283.2300150841</v>
      </c>
      <c r="G24" s="368">
        <v>1508464.8564289983</v>
      </c>
      <c r="H24" s="370">
        <v>1508464.8564289983</v>
      </c>
      <c r="I24" s="160">
        <f t="shared" si="0"/>
        <v>0</v>
      </c>
      <c r="J24" s="160"/>
      <c r="K24" s="338">
        <f>G24</f>
        <v>1508464.8564289983</v>
      </c>
      <c r="L24" s="272">
        <f t="shared" si="7"/>
        <v>0</v>
      </c>
      <c r="M24" s="338">
        <f>H24</f>
        <v>1508464.8564289983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2017</v>
      </c>
      <c r="D25" s="371">
        <v>9821283.2300150841</v>
      </c>
      <c r="E25" s="368">
        <v>249044.89130434784</v>
      </c>
      <c r="F25" s="371">
        <v>9572238.3387107365</v>
      </c>
      <c r="G25" s="368">
        <v>1467214.2092134841</v>
      </c>
      <c r="H25" s="370">
        <v>1467214.2092134841</v>
      </c>
      <c r="I25" s="160">
        <v>0</v>
      </c>
      <c r="J25" s="160"/>
      <c r="K25" s="338">
        <f>G25</f>
        <v>1467214.2092134841</v>
      </c>
      <c r="L25" s="272">
        <f t="shared" si="7"/>
        <v>0</v>
      </c>
      <c r="M25" s="338">
        <f>H25</f>
        <v>1467214.2092134841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2018</v>
      </c>
      <c r="D26" s="371">
        <v>9572238.3387107365</v>
      </c>
      <c r="E26" s="368">
        <v>254579.22222222222</v>
      </c>
      <c r="F26" s="371">
        <v>9317659.1164885145</v>
      </c>
      <c r="G26" s="368">
        <v>1385696.2768787597</v>
      </c>
      <c r="H26" s="370">
        <v>1385696.2768787597</v>
      </c>
      <c r="I26" s="160">
        <f t="shared" si="0"/>
        <v>0</v>
      </c>
      <c r="J26" s="160"/>
      <c r="K26" s="338">
        <f>G26</f>
        <v>1385696.2768787597</v>
      </c>
      <c r="L26" s="272">
        <f t="shared" si="7"/>
        <v>0</v>
      </c>
      <c r="M26" s="338">
        <f>H26</f>
        <v>1385696.2768787597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2019</v>
      </c>
      <c r="D27" s="166">
        <f>IF(F26+SUM(E$17:E26)=D$10,F26,D$10-SUM(E$17:E26))</f>
        <v>9317659.1164885145</v>
      </c>
      <c r="E27" s="164">
        <f>IF(+I14&lt;F26,I14,D27)</f>
        <v>286401.625</v>
      </c>
      <c r="F27" s="163">
        <f t="shared" ref="F27:F72" si="10">+D27-E27</f>
        <v>9031257.4914885145</v>
      </c>
      <c r="G27" s="165">
        <f t="shared" ref="G27:G72" si="11">(D27+F27)/2*I$12+E27</f>
        <v>1343522.1856703926</v>
      </c>
      <c r="H27" s="147">
        <f t="shared" ref="H27:H72" si="12">+(D27+F27)/2*I$13+E27</f>
        <v>1343522.1856703926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6"/>
        <v/>
      </c>
      <c r="C28" s="157">
        <f>IF(D11="","-",+C27+1)</f>
        <v>2020</v>
      </c>
      <c r="D28" s="163">
        <f>IF(F27+SUM(E$17:E27)=D$10,F27,D$10-SUM(E$17:E27))</f>
        <v>9031257.4914885145</v>
      </c>
      <c r="E28" s="164">
        <f>IF(+I14&lt;F27,I14,D28)</f>
        <v>286401.625</v>
      </c>
      <c r="F28" s="163">
        <f t="shared" si="10"/>
        <v>8744855.8664885145</v>
      </c>
      <c r="G28" s="165">
        <f t="shared" si="11"/>
        <v>1310521.7581393973</v>
      </c>
      <c r="H28" s="147">
        <f t="shared" si="12"/>
        <v>1310521.7581393973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2021</v>
      </c>
      <c r="D29" s="163">
        <f>IF(F28+SUM(E$17:E28)=D$10,F28,D$10-SUM(E$17:E28))</f>
        <v>8744855.8664885145</v>
      </c>
      <c r="E29" s="164">
        <f>IF(+I14&lt;F28,I14,D29)</f>
        <v>286401.625</v>
      </c>
      <c r="F29" s="163">
        <f t="shared" si="10"/>
        <v>8458454.2414885145</v>
      </c>
      <c r="G29" s="165">
        <f t="shared" si="11"/>
        <v>1277521.3306084019</v>
      </c>
      <c r="H29" s="147">
        <f t="shared" si="12"/>
        <v>1277521.3306084019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2022</v>
      </c>
      <c r="D30" s="163">
        <f>IF(F29+SUM(E$17:E29)=D$10,F29,D$10-SUM(E$17:E29))</f>
        <v>8458454.2414885145</v>
      </c>
      <c r="E30" s="164">
        <f>IF(+I14&lt;F29,I14,D30)</f>
        <v>286401.625</v>
      </c>
      <c r="F30" s="163">
        <f t="shared" si="10"/>
        <v>8172052.6164885145</v>
      </c>
      <c r="G30" s="165">
        <f t="shared" si="11"/>
        <v>1244520.9030774066</v>
      </c>
      <c r="H30" s="147">
        <f t="shared" si="12"/>
        <v>1244520.9030774066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2023</v>
      </c>
      <c r="D31" s="163">
        <f>IF(F30+SUM(E$17:E30)=D$10,F30,D$10-SUM(E$17:E30))</f>
        <v>8172052.6164885145</v>
      </c>
      <c r="E31" s="164">
        <f>IF(+I14&lt;F30,I14,D31)</f>
        <v>286401.625</v>
      </c>
      <c r="F31" s="163">
        <f t="shared" si="10"/>
        <v>7885650.9914885145</v>
      </c>
      <c r="G31" s="165">
        <f t="shared" si="11"/>
        <v>1211520.4755464112</v>
      </c>
      <c r="H31" s="147">
        <f t="shared" si="12"/>
        <v>1211520.4755464112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2024</v>
      </c>
      <c r="D32" s="163">
        <f>IF(F31+SUM(E$17:E31)=D$10,F31,D$10-SUM(E$17:E31))</f>
        <v>7885650.9914885145</v>
      </c>
      <c r="E32" s="164">
        <f>IF(+I14&lt;F31,I14,D32)</f>
        <v>286401.625</v>
      </c>
      <c r="F32" s="163">
        <f t="shared" si="10"/>
        <v>7599249.3664885145</v>
      </c>
      <c r="G32" s="165">
        <f t="shared" si="11"/>
        <v>1178520.0480154157</v>
      </c>
      <c r="H32" s="147">
        <f t="shared" si="12"/>
        <v>1178520.0480154157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2025</v>
      </c>
      <c r="D33" s="163">
        <f>IF(F32+SUM(E$17:E32)=D$10,F32,D$10-SUM(E$17:E32))</f>
        <v>7599249.3664885145</v>
      </c>
      <c r="E33" s="164">
        <f>IF(+I14&lt;F32,I14,D33)</f>
        <v>286401.625</v>
      </c>
      <c r="F33" s="163">
        <f t="shared" si="10"/>
        <v>7312847.7414885145</v>
      </c>
      <c r="G33" s="165">
        <f t="shared" si="11"/>
        <v>1145519.6204844206</v>
      </c>
      <c r="H33" s="147">
        <f t="shared" si="12"/>
        <v>1145519.6204844206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2026</v>
      </c>
      <c r="D34" s="163">
        <f>IF(F33+SUM(E$17:E33)=D$10,F33,D$10-SUM(E$17:E33))</f>
        <v>7312847.7414885145</v>
      </c>
      <c r="E34" s="164">
        <f>IF(+I14&lt;F33,I14,D34)</f>
        <v>286401.625</v>
      </c>
      <c r="F34" s="163">
        <f t="shared" si="10"/>
        <v>7026446.1164885145</v>
      </c>
      <c r="G34" s="165">
        <f t="shared" si="11"/>
        <v>1112519.192953425</v>
      </c>
      <c r="H34" s="147">
        <f t="shared" si="12"/>
        <v>1112519.192953425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2027</v>
      </c>
      <c r="D35" s="163">
        <f>IF(F34+SUM(E$17:E34)=D$10,F34,D$10-SUM(E$17:E34))</f>
        <v>7026446.1164885145</v>
      </c>
      <c r="E35" s="164">
        <f>IF(+I14&lt;F34,I14,D35)</f>
        <v>286401.625</v>
      </c>
      <c r="F35" s="163">
        <f t="shared" si="10"/>
        <v>6740044.4914885145</v>
      </c>
      <c r="G35" s="165">
        <f t="shared" si="11"/>
        <v>1079518.7654224299</v>
      </c>
      <c r="H35" s="147">
        <f t="shared" si="12"/>
        <v>1079518.7654224299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2028</v>
      </c>
      <c r="D36" s="163">
        <f>IF(F35+SUM(E$17:E35)=D$10,F35,D$10-SUM(E$17:E35))</f>
        <v>6740044.4914885145</v>
      </c>
      <c r="E36" s="164">
        <f>IF(+I14&lt;F35,I14,D36)</f>
        <v>286401.625</v>
      </c>
      <c r="F36" s="163">
        <f t="shared" si="10"/>
        <v>6453642.8664885145</v>
      </c>
      <c r="G36" s="165">
        <f t="shared" si="11"/>
        <v>1046518.3378914344</v>
      </c>
      <c r="H36" s="147">
        <f t="shared" si="12"/>
        <v>1046518.3378914344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2029</v>
      </c>
      <c r="D37" s="163">
        <f>IF(F36+SUM(E$17:E36)=D$10,F36,D$10-SUM(E$17:E36))</f>
        <v>6453642.8664885145</v>
      </c>
      <c r="E37" s="164">
        <f>IF(+I14&lt;F36,I14,D37)</f>
        <v>286401.625</v>
      </c>
      <c r="F37" s="163">
        <f t="shared" si="10"/>
        <v>6167241.2414885145</v>
      </c>
      <c r="G37" s="165">
        <f t="shared" si="11"/>
        <v>1013517.9103604391</v>
      </c>
      <c r="H37" s="147">
        <f t="shared" si="12"/>
        <v>1013517.9103604391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2030</v>
      </c>
      <c r="D38" s="163">
        <f>IF(F37+SUM(E$17:E37)=D$10,F37,D$10-SUM(E$17:E37))</f>
        <v>6167241.2414885145</v>
      </c>
      <c r="E38" s="164">
        <f>IF(+I14&lt;F37,I14,D38)</f>
        <v>286401.625</v>
      </c>
      <c r="F38" s="163">
        <f t="shared" si="10"/>
        <v>5880839.6164885145</v>
      </c>
      <c r="G38" s="165">
        <f t="shared" si="11"/>
        <v>980517.48282944364</v>
      </c>
      <c r="H38" s="147">
        <f t="shared" si="12"/>
        <v>980517.48282944364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2031</v>
      </c>
      <c r="D39" s="163">
        <f>IF(F38+SUM(E$17:E38)=D$10,F38,D$10-SUM(E$17:E38))</f>
        <v>5880839.6164885145</v>
      </c>
      <c r="E39" s="164">
        <f>IF(+I14&lt;F38,I14,D39)</f>
        <v>286401.625</v>
      </c>
      <c r="F39" s="163">
        <f t="shared" si="10"/>
        <v>5594437.9914885145</v>
      </c>
      <c r="G39" s="165">
        <f t="shared" si="11"/>
        <v>947517.05529844831</v>
      </c>
      <c r="H39" s="147">
        <f t="shared" si="12"/>
        <v>947517.05529844831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2032</v>
      </c>
      <c r="D40" s="163">
        <f>IF(F39+SUM(E$17:E39)=D$10,F39,D$10-SUM(E$17:E39))</f>
        <v>5594437.9914885145</v>
      </c>
      <c r="E40" s="164">
        <f>IF(+I14&lt;F39,I14,D40)</f>
        <v>286401.625</v>
      </c>
      <c r="F40" s="163">
        <f t="shared" si="10"/>
        <v>5308036.3664885145</v>
      </c>
      <c r="G40" s="165">
        <f t="shared" si="11"/>
        <v>914516.62776745297</v>
      </c>
      <c r="H40" s="147">
        <f t="shared" si="12"/>
        <v>914516.62776745297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2033</v>
      </c>
      <c r="D41" s="163">
        <f>IF(F40+SUM(E$17:E40)=D$10,F40,D$10-SUM(E$17:E40))</f>
        <v>5308036.3664885145</v>
      </c>
      <c r="E41" s="164">
        <f>IF(+I14&lt;F40,I14,D41)</f>
        <v>286401.625</v>
      </c>
      <c r="F41" s="163">
        <f t="shared" si="10"/>
        <v>5021634.7414885145</v>
      </c>
      <c r="G41" s="165">
        <f t="shared" si="11"/>
        <v>881516.20023645763</v>
      </c>
      <c r="H41" s="147">
        <f t="shared" si="12"/>
        <v>881516.20023645763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2034</v>
      </c>
      <c r="D42" s="163">
        <f>IF(F41+SUM(E$17:E41)=D$10,F41,D$10-SUM(E$17:E41))</f>
        <v>5021634.7414885145</v>
      </c>
      <c r="E42" s="164">
        <f>IF(+I14&lt;F41,I14,D42)</f>
        <v>286401.625</v>
      </c>
      <c r="F42" s="163">
        <f t="shared" si="10"/>
        <v>4735233.1164885145</v>
      </c>
      <c r="G42" s="165">
        <f t="shared" si="11"/>
        <v>848515.7727054623</v>
      </c>
      <c r="H42" s="147">
        <f t="shared" si="12"/>
        <v>848515.7727054623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2035</v>
      </c>
      <c r="D43" s="163">
        <f>IF(F42+SUM(E$17:E42)=D$10,F42,D$10-SUM(E$17:E42))</f>
        <v>4735233.1164885145</v>
      </c>
      <c r="E43" s="164">
        <f>IF(+I14&lt;F42,I14,D43)</f>
        <v>286401.625</v>
      </c>
      <c r="F43" s="163">
        <f t="shared" si="10"/>
        <v>4448831.4914885145</v>
      </c>
      <c r="G43" s="165">
        <f t="shared" si="11"/>
        <v>815515.34517446696</v>
      </c>
      <c r="H43" s="147">
        <f t="shared" si="12"/>
        <v>815515.34517446696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2036</v>
      </c>
      <c r="D44" s="163">
        <f>IF(F43+SUM(E$17:E43)=D$10,F43,D$10-SUM(E$17:E43))</f>
        <v>4448831.4914885145</v>
      </c>
      <c r="E44" s="164">
        <f>IF(+I14&lt;F43,I14,D44)</f>
        <v>286401.625</v>
      </c>
      <c r="F44" s="163">
        <f t="shared" si="10"/>
        <v>4162429.8664885145</v>
      </c>
      <c r="G44" s="165">
        <f t="shared" si="11"/>
        <v>782514.91764347162</v>
      </c>
      <c r="H44" s="147">
        <f t="shared" si="12"/>
        <v>782514.91764347162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2037</v>
      </c>
      <c r="D45" s="163">
        <f>IF(F44+SUM(E$17:E44)=D$10,F44,D$10-SUM(E$17:E44))</f>
        <v>4162429.8664885145</v>
      </c>
      <c r="E45" s="164">
        <f>IF(+I14&lt;F44,I14,D45)</f>
        <v>286401.625</v>
      </c>
      <c r="F45" s="163">
        <f t="shared" si="10"/>
        <v>3876028.2414885145</v>
      </c>
      <c r="G45" s="165">
        <f t="shared" si="11"/>
        <v>749514.49011247628</v>
      </c>
      <c r="H45" s="147">
        <f t="shared" si="12"/>
        <v>749514.49011247628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2038</v>
      </c>
      <c r="D46" s="163">
        <f>IF(F45+SUM(E$17:E45)=D$10,F45,D$10-SUM(E$17:E45))</f>
        <v>3876028.2414885145</v>
      </c>
      <c r="E46" s="164">
        <f>IF(+I14&lt;F45,I14,D46)</f>
        <v>286401.625</v>
      </c>
      <c r="F46" s="163">
        <f t="shared" si="10"/>
        <v>3589626.6164885145</v>
      </c>
      <c r="G46" s="165">
        <f t="shared" si="11"/>
        <v>716514.06258148083</v>
      </c>
      <c r="H46" s="147">
        <f t="shared" si="12"/>
        <v>716514.06258148083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2039</v>
      </c>
      <c r="D47" s="163">
        <f>IF(F46+SUM(E$17:E46)=D$10,F46,D$10-SUM(E$17:E46))</f>
        <v>3589626.6164885145</v>
      </c>
      <c r="E47" s="164">
        <f>IF(+I14&lt;F46,I14,D47)</f>
        <v>286401.625</v>
      </c>
      <c r="F47" s="163">
        <f t="shared" si="10"/>
        <v>3303224.9914885145</v>
      </c>
      <c r="G47" s="165">
        <f t="shared" si="11"/>
        <v>683513.63505048549</v>
      </c>
      <c r="H47" s="147">
        <f t="shared" si="12"/>
        <v>683513.63505048549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2040</v>
      </c>
      <c r="D48" s="163">
        <f>IF(F47+SUM(E$17:E47)=D$10,F47,D$10-SUM(E$17:E47))</f>
        <v>3303224.9914885145</v>
      </c>
      <c r="E48" s="164">
        <f>IF(+I14&lt;F47,I14,D48)</f>
        <v>286401.625</v>
      </c>
      <c r="F48" s="163">
        <f t="shared" si="10"/>
        <v>3016823.3664885145</v>
      </c>
      <c r="G48" s="165">
        <f t="shared" si="11"/>
        <v>650513.20751949016</v>
      </c>
      <c r="H48" s="147">
        <f t="shared" si="12"/>
        <v>650513.20751949016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2041</v>
      </c>
      <c r="D49" s="163">
        <f>IF(F48+SUM(E$17:E48)=D$10,F48,D$10-SUM(E$17:E48))</f>
        <v>3016823.3664885145</v>
      </c>
      <c r="E49" s="164">
        <f>IF(+I14&lt;F48,I14,D49)</f>
        <v>286401.625</v>
      </c>
      <c r="F49" s="163">
        <f t="shared" si="10"/>
        <v>2730421.7414885145</v>
      </c>
      <c r="G49" s="165">
        <f t="shared" si="11"/>
        <v>617512.7799884947</v>
      </c>
      <c r="H49" s="147">
        <f t="shared" si="12"/>
        <v>617512.7799884947</v>
      </c>
      <c r="I49" s="160">
        <f t="shared" ref="I49:I72" si="13">H303-G303</f>
        <v>0</v>
      </c>
      <c r="J49" s="160"/>
      <c r="K49" s="335"/>
      <c r="L49" s="162">
        <f t="shared" ref="L49:L72" si="14">IF(K303&lt;&gt;0,+G303-K303,0)</f>
        <v>0</v>
      </c>
      <c r="M49" s="335"/>
      <c r="N49" s="162">
        <f t="shared" ref="N49:N72" si="15">IF(M303&lt;&gt;0,+H303-M303,0)</f>
        <v>0</v>
      </c>
      <c r="O49" s="162">
        <f t="shared" ref="O49:O72" si="16">+N303-L303</f>
        <v>0</v>
      </c>
      <c r="P49" s="4"/>
    </row>
    <row r="50" spans="2:16">
      <c r="B50" s="9" t="str">
        <f t="shared" si="6"/>
        <v/>
      </c>
      <c r="C50" s="157">
        <f>IF(D11="","-",+C49+1)</f>
        <v>2042</v>
      </c>
      <c r="D50" s="163">
        <f>IF(F49+SUM(E$17:E49)=D$10,F49,D$10-SUM(E$17:E49))</f>
        <v>2730421.7414885145</v>
      </c>
      <c r="E50" s="164">
        <f>IF(+I14&lt;F49,I14,D50)</f>
        <v>286401.625</v>
      </c>
      <c r="F50" s="163">
        <f t="shared" si="10"/>
        <v>2444020.1164885145</v>
      </c>
      <c r="G50" s="165">
        <f t="shared" si="11"/>
        <v>584512.35245749936</v>
      </c>
      <c r="H50" s="147">
        <f t="shared" si="12"/>
        <v>584512.35245749936</v>
      </c>
      <c r="I50" s="160">
        <f t="shared" si="13"/>
        <v>0</v>
      </c>
      <c r="J50" s="160"/>
      <c r="K50" s="335"/>
      <c r="L50" s="162">
        <f t="shared" si="14"/>
        <v>0</v>
      </c>
      <c r="M50" s="335"/>
      <c r="N50" s="162">
        <f t="shared" si="15"/>
        <v>0</v>
      </c>
      <c r="O50" s="162">
        <f t="shared" si="16"/>
        <v>0</v>
      </c>
      <c r="P50" s="4"/>
    </row>
    <row r="51" spans="2:16">
      <c r="B51" s="9" t="str">
        <f t="shared" si="6"/>
        <v/>
      </c>
      <c r="C51" s="157">
        <f>IF(D11="","-",+C50+1)</f>
        <v>2043</v>
      </c>
      <c r="D51" s="163">
        <f>IF(F50+SUM(E$17:E50)=D$10,F50,D$10-SUM(E$17:E50))</f>
        <v>2444020.1164885145</v>
      </c>
      <c r="E51" s="164">
        <f>IF(+I14&lt;F50,I14,D51)</f>
        <v>286401.625</v>
      </c>
      <c r="F51" s="163">
        <f t="shared" si="10"/>
        <v>2157618.4914885145</v>
      </c>
      <c r="G51" s="165">
        <f t="shared" si="11"/>
        <v>551511.92492650403</v>
      </c>
      <c r="H51" s="147">
        <f t="shared" si="12"/>
        <v>551511.92492650403</v>
      </c>
      <c r="I51" s="160">
        <f t="shared" si="13"/>
        <v>0</v>
      </c>
      <c r="J51" s="160"/>
      <c r="K51" s="335"/>
      <c r="L51" s="162">
        <f t="shared" si="14"/>
        <v>0</v>
      </c>
      <c r="M51" s="335"/>
      <c r="N51" s="162">
        <f t="shared" si="15"/>
        <v>0</v>
      </c>
      <c r="O51" s="162">
        <f t="shared" si="16"/>
        <v>0</v>
      </c>
      <c r="P51" s="4"/>
    </row>
    <row r="52" spans="2:16">
      <c r="B52" s="9" t="str">
        <f t="shared" si="6"/>
        <v/>
      </c>
      <c r="C52" s="157">
        <f>IF(D11="","-",+C51+1)</f>
        <v>2044</v>
      </c>
      <c r="D52" s="163">
        <f>IF(F51+SUM(E$17:E51)=D$10,F51,D$10-SUM(E$17:E51))</f>
        <v>2157618.4914885145</v>
      </c>
      <c r="E52" s="164">
        <f>IF(+I14&lt;F51,I14,D52)</f>
        <v>286401.625</v>
      </c>
      <c r="F52" s="163">
        <f t="shared" si="10"/>
        <v>1871216.8664885145</v>
      </c>
      <c r="G52" s="165">
        <f t="shared" si="11"/>
        <v>518511.49739550869</v>
      </c>
      <c r="H52" s="147">
        <f t="shared" si="12"/>
        <v>518511.49739550869</v>
      </c>
      <c r="I52" s="160">
        <f t="shared" si="13"/>
        <v>0</v>
      </c>
      <c r="J52" s="160"/>
      <c r="K52" s="335"/>
      <c r="L52" s="162">
        <f t="shared" si="14"/>
        <v>0</v>
      </c>
      <c r="M52" s="335"/>
      <c r="N52" s="162">
        <f t="shared" si="15"/>
        <v>0</v>
      </c>
      <c r="O52" s="162">
        <f t="shared" si="16"/>
        <v>0</v>
      </c>
      <c r="P52" s="4"/>
    </row>
    <row r="53" spans="2:16">
      <c r="B53" s="9" t="str">
        <f t="shared" si="6"/>
        <v/>
      </c>
      <c r="C53" s="157">
        <f>IF(D11="","-",+C52+1)</f>
        <v>2045</v>
      </c>
      <c r="D53" s="163">
        <f>IF(F52+SUM(E$17:E52)=D$10,F52,D$10-SUM(E$17:E52))</f>
        <v>1871216.8664885145</v>
      </c>
      <c r="E53" s="164">
        <f>IF(+I14&lt;F52,I14,D53)</f>
        <v>286401.625</v>
      </c>
      <c r="F53" s="163">
        <f t="shared" si="10"/>
        <v>1584815.2414885145</v>
      </c>
      <c r="G53" s="165">
        <f t="shared" si="11"/>
        <v>485511.06986451335</v>
      </c>
      <c r="H53" s="147">
        <f t="shared" si="12"/>
        <v>485511.06986451335</v>
      </c>
      <c r="I53" s="160">
        <f t="shared" si="13"/>
        <v>0</v>
      </c>
      <c r="J53" s="160"/>
      <c r="K53" s="335"/>
      <c r="L53" s="162">
        <f t="shared" si="14"/>
        <v>0</v>
      </c>
      <c r="M53" s="335"/>
      <c r="N53" s="162">
        <f t="shared" si="15"/>
        <v>0</v>
      </c>
      <c r="O53" s="162">
        <f t="shared" si="16"/>
        <v>0</v>
      </c>
      <c r="P53" s="4"/>
    </row>
    <row r="54" spans="2:16">
      <c r="B54" s="9" t="str">
        <f t="shared" si="6"/>
        <v/>
      </c>
      <c r="C54" s="157">
        <f>IF(D11="","-",+C53+1)</f>
        <v>2046</v>
      </c>
      <c r="D54" s="163">
        <f>IF(F53+SUM(E$17:E53)=D$10,F53,D$10-SUM(E$17:E53))</f>
        <v>1584815.2414885145</v>
      </c>
      <c r="E54" s="164">
        <f>IF(+I14&lt;F53,I14,D54)</f>
        <v>286401.625</v>
      </c>
      <c r="F54" s="163">
        <f t="shared" si="10"/>
        <v>1298413.6164885145</v>
      </c>
      <c r="G54" s="165">
        <f t="shared" si="11"/>
        <v>452510.64233351802</v>
      </c>
      <c r="H54" s="147">
        <f t="shared" si="12"/>
        <v>452510.64233351802</v>
      </c>
      <c r="I54" s="160">
        <f t="shared" si="13"/>
        <v>0</v>
      </c>
      <c r="J54" s="160"/>
      <c r="K54" s="335"/>
      <c r="L54" s="162">
        <f t="shared" si="14"/>
        <v>0</v>
      </c>
      <c r="M54" s="335"/>
      <c r="N54" s="162">
        <f t="shared" si="15"/>
        <v>0</v>
      </c>
      <c r="O54" s="162">
        <f t="shared" si="16"/>
        <v>0</v>
      </c>
      <c r="P54" s="4"/>
    </row>
    <row r="55" spans="2:16">
      <c r="B55" s="9" t="str">
        <f t="shared" si="6"/>
        <v/>
      </c>
      <c r="C55" s="157">
        <f>IF(D11="","-",+C54+1)</f>
        <v>2047</v>
      </c>
      <c r="D55" s="163">
        <f>IF(F54+SUM(E$17:E54)=D$10,F54,D$10-SUM(E$17:E54))</f>
        <v>1298413.6164885145</v>
      </c>
      <c r="E55" s="164">
        <f>IF(+I14&lt;F54,I14,D55)</f>
        <v>286401.625</v>
      </c>
      <c r="F55" s="163">
        <f t="shared" si="10"/>
        <v>1012011.9914885145</v>
      </c>
      <c r="G55" s="165">
        <f t="shared" si="11"/>
        <v>419510.21480252268</v>
      </c>
      <c r="H55" s="147">
        <f t="shared" si="12"/>
        <v>419510.21480252268</v>
      </c>
      <c r="I55" s="160">
        <f t="shared" si="13"/>
        <v>0</v>
      </c>
      <c r="J55" s="160"/>
      <c r="K55" s="335"/>
      <c r="L55" s="162">
        <f t="shared" si="14"/>
        <v>0</v>
      </c>
      <c r="M55" s="335"/>
      <c r="N55" s="162">
        <f t="shared" si="15"/>
        <v>0</v>
      </c>
      <c r="O55" s="162">
        <f t="shared" si="16"/>
        <v>0</v>
      </c>
      <c r="P55" s="4"/>
    </row>
    <row r="56" spans="2:16">
      <c r="B56" s="9" t="str">
        <f t="shared" si="6"/>
        <v/>
      </c>
      <c r="C56" s="157">
        <f>IF(D11="","-",+C55+1)</f>
        <v>2048</v>
      </c>
      <c r="D56" s="163">
        <f>IF(F55+SUM(E$17:E55)=D$10,F55,D$10-SUM(E$17:E55))</f>
        <v>1012011.9914885145</v>
      </c>
      <c r="E56" s="164">
        <f>IF(+I14&lt;F55,I14,D56)</f>
        <v>286401.625</v>
      </c>
      <c r="F56" s="163">
        <f t="shared" si="10"/>
        <v>725610.36648851447</v>
      </c>
      <c r="G56" s="165">
        <f t="shared" si="11"/>
        <v>386509.78727152728</v>
      </c>
      <c r="H56" s="147">
        <f t="shared" si="12"/>
        <v>386509.78727152728</v>
      </c>
      <c r="I56" s="160">
        <f t="shared" si="13"/>
        <v>0</v>
      </c>
      <c r="J56" s="160"/>
      <c r="K56" s="335"/>
      <c r="L56" s="162">
        <f t="shared" si="14"/>
        <v>0</v>
      </c>
      <c r="M56" s="335"/>
      <c r="N56" s="162">
        <f t="shared" si="15"/>
        <v>0</v>
      </c>
      <c r="O56" s="162">
        <f t="shared" si="16"/>
        <v>0</v>
      </c>
      <c r="P56" s="4"/>
    </row>
    <row r="57" spans="2:16">
      <c r="B57" s="9" t="str">
        <f t="shared" si="6"/>
        <v/>
      </c>
      <c r="C57" s="157">
        <f>IF(D11="","-",+C56+1)</f>
        <v>2049</v>
      </c>
      <c r="D57" s="163">
        <f>IF(F56+SUM(E$17:E56)=D$10,F56,D$10-SUM(E$17:E56))</f>
        <v>725610.36648851447</v>
      </c>
      <c r="E57" s="164">
        <f>IF(+I14&lt;F56,I14,D57)</f>
        <v>286401.625</v>
      </c>
      <c r="F57" s="163">
        <f t="shared" si="10"/>
        <v>439208.74148851447</v>
      </c>
      <c r="G57" s="165">
        <f t="shared" si="11"/>
        <v>353509.35974053195</v>
      </c>
      <c r="H57" s="147">
        <f t="shared" si="12"/>
        <v>353509.35974053195</v>
      </c>
      <c r="I57" s="160">
        <f t="shared" si="13"/>
        <v>0</v>
      </c>
      <c r="J57" s="160"/>
      <c r="K57" s="335"/>
      <c r="L57" s="162">
        <f t="shared" si="14"/>
        <v>0</v>
      </c>
      <c r="M57" s="335"/>
      <c r="N57" s="162">
        <f t="shared" si="15"/>
        <v>0</v>
      </c>
      <c r="O57" s="162">
        <f t="shared" si="16"/>
        <v>0</v>
      </c>
      <c r="P57" s="4"/>
    </row>
    <row r="58" spans="2:16">
      <c r="B58" s="9" t="str">
        <f t="shared" si="6"/>
        <v/>
      </c>
      <c r="C58" s="157">
        <f>IF(D11="","-",+C57+1)</f>
        <v>2050</v>
      </c>
      <c r="D58" s="163">
        <f>IF(F57+SUM(E$17:E57)=D$10,F57,D$10-SUM(E$17:E57))</f>
        <v>439208.74148851447</v>
      </c>
      <c r="E58" s="164">
        <f>IF(+I14&lt;F57,I14,D58)</f>
        <v>286401.625</v>
      </c>
      <c r="F58" s="163">
        <f t="shared" si="10"/>
        <v>152807.11648851447</v>
      </c>
      <c r="G58" s="165">
        <f t="shared" si="11"/>
        <v>320508.93220953655</v>
      </c>
      <c r="H58" s="147">
        <f t="shared" si="12"/>
        <v>320508.93220953655</v>
      </c>
      <c r="I58" s="160">
        <f t="shared" si="13"/>
        <v>0</v>
      </c>
      <c r="J58" s="160"/>
      <c r="K58" s="335"/>
      <c r="L58" s="162">
        <f t="shared" si="14"/>
        <v>0</v>
      </c>
      <c r="M58" s="335"/>
      <c r="N58" s="162">
        <f t="shared" si="15"/>
        <v>0</v>
      </c>
      <c r="O58" s="162">
        <f t="shared" si="16"/>
        <v>0</v>
      </c>
      <c r="P58" s="4"/>
    </row>
    <row r="59" spans="2:16">
      <c r="B59" s="9" t="str">
        <f t="shared" si="6"/>
        <v/>
      </c>
      <c r="C59" s="157">
        <f>IF(D11="","-",+C58+1)</f>
        <v>2051</v>
      </c>
      <c r="D59" s="163">
        <f>IF(F58+SUM(E$17:E58)=D$10,F58,D$10-SUM(E$17:E58))</f>
        <v>152807.11648851447</v>
      </c>
      <c r="E59" s="164">
        <f>IF(+I14&lt;F58,I14,D59)</f>
        <v>152807.11648851447</v>
      </c>
      <c r="F59" s="163">
        <f t="shared" si="10"/>
        <v>0</v>
      </c>
      <c r="G59" s="165">
        <f t="shared" si="11"/>
        <v>161610.66321053391</v>
      </c>
      <c r="H59" s="147">
        <f t="shared" si="12"/>
        <v>161610.66321053391</v>
      </c>
      <c r="I59" s="160">
        <f t="shared" si="13"/>
        <v>0</v>
      </c>
      <c r="J59" s="160"/>
      <c r="K59" s="335"/>
      <c r="L59" s="162">
        <f t="shared" si="14"/>
        <v>0</v>
      </c>
      <c r="M59" s="335"/>
      <c r="N59" s="162">
        <f t="shared" si="15"/>
        <v>0</v>
      </c>
      <c r="O59" s="162">
        <f t="shared" si="16"/>
        <v>0</v>
      </c>
      <c r="P59" s="4"/>
    </row>
    <row r="60" spans="2:16">
      <c r="B60" s="9" t="str">
        <f t="shared" si="6"/>
        <v/>
      </c>
      <c r="C60" s="157">
        <f>IF(D11="","-",+C59+1)</f>
        <v>2052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0"/>
        <v>0</v>
      </c>
      <c r="G60" s="165">
        <f t="shared" si="11"/>
        <v>0</v>
      </c>
      <c r="H60" s="147">
        <f t="shared" si="12"/>
        <v>0</v>
      </c>
      <c r="I60" s="160">
        <f t="shared" si="13"/>
        <v>0</v>
      </c>
      <c r="J60" s="160"/>
      <c r="K60" s="335"/>
      <c r="L60" s="162">
        <f t="shared" si="14"/>
        <v>0</v>
      </c>
      <c r="M60" s="335"/>
      <c r="N60" s="162">
        <f t="shared" si="15"/>
        <v>0</v>
      </c>
      <c r="O60" s="162">
        <f t="shared" si="16"/>
        <v>0</v>
      </c>
      <c r="P60" s="4"/>
    </row>
    <row r="61" spans="2:16">
      <c r="B61" s="9" t="str">
        <f t="shared" si="6"/>
        <v/>
      </c>
      <c r="C61" s="157">
        <f>IF(D11="","-",+C60+1)</f>
        <v>2053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0"/>
        <v>0</v>
      </c>
      <c r="G61" s="165">
        <f t="shared" si="11"/>
        <v>0</v>
      </c>
      <c r="H61" s="147">
        <f t="shared" si="12"/>
        <v>0</v>
      </c>
      <c r="I61" s="160">
        <f t="shared" si="13"/>
        <v>0</v>
      </c>
      <c r="J61" s="160"/>
      <c r="K61" s="335"/>
      <c r="L61" s="162">
        <f t="shared" si="14"/>
        <v>0</v>
      </c>
      <c r="M61" s="335"/>
      <c r="N61" s="162">
        <f t="shared" si="15"/>
        <v>0</v>
      </c>
      <c r="O61" s="162">
        <f t="shared" si="16"/>
        <v>0</v>
      </c>
      <c r="P61" s="4"/>
    </row>
    <row r="62" spans="2:16">
      <c r="B62" s="9" t="str">
        <f t="shared" si="6"/>
        <v/>
      </c>
      <c r="C62" s="157">
        <f>IF(D11="","-",+C61+1)</f>
        <v>2054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0"/>
        <v>0</v>
      </c>
      <c r="G62" s="165">
        <f t="shared" si="11"/>
        <v>0</v>
      </c>
      <c r="H62" s="147">
        <f t="shared" si="12"/>
        <v>0</v>
      </c>
      <c r="I62" s="160">
        <f t="shared" si="13"/>
        <v>0</v>
      </c>
      <c r="J62" s="160"/>
      <c r="K62" s="335"/>
      <c r="L62" s="162">
        <f t="shared" si="14"/>
        <v>0</v>
      </c>
      <c r="M62" s="335"/>
      <c r="N62" s="162">
        <f t="shared" si="15"/>
        <v>0</v>
      </c>
      <c r="O62" s="162">
        <f t="shared" si="16"/>
        <v>0</v>
      </c>
      <c r="P62" s="4"/>
    </row>
    <row r="63" spans="2:16">
      <c r="B63" s="9" t="str">
        <f t="shared" si="6"/>
        <v/>
      </c>
      <c r="C63" s="157">
        <f>IF(D11="","-",+C62+1)</f>
        <v>2055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0"/>
        <v>0</v>
      </c>
      <c r="G63" s="165">
        <f t="shared" si="11"/>
        <v>0</v>
      </c>
      <c r="H63" s="147">
        <f t="shared" si="12"/>
        <v>0</v>
      </c>
      <c r="I63" s="160">
        <f t="shared" si="13"/>
        <v>0</v>
      </c>
      <c r="J63" s="160"/>
      <c r="K63" s="335"/>
      <c r="L63" s="162">
        <f t="shared" si="14"/>
        <v>0</v>
      </c>
      <c r="M63" s="335"/>
      <c r="N63" s="162">
        <f t="shared" si="15"/>
        <v>0</v>
      </c>
      <c r="O63" s="162">
        <f t="shared" si="16"/>
        <v>0</v>
      </c>
      <c r="P63" s="4"/>
    </row>
    <row r="64" spans="2:16">
      <c r="B64" s="9" t="str">
        <f t="shared" si="6"/>
        <v/>
      </c>
      <c r="C64" s="157">
        <f>IF(D11="","-",+C63+1)</f>
        <v>2056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0"/>
        <v>0</v>
      </c>
      <c r="G64" s="165">
        <f t="shared" si="11"/>
        <v>0</v>
      </c>
      <c r="H64" s="147">
        <f t="shared" si="12"/>
        <v>0</v>
      </c>
      <c r="I64" s="160">
        <f t="shared" si="13"/>
        <v>0</v>
      </c>
      <c r="J64" s="160"/>
      <c r="K64" s="335"/>
      <c r="L64" s="162">
        <f t="shared" si="14"/>
        <v>0</v>
      </c>
      <c r="M64" s="335"/>
      <c r="N64" s="162">
        <f t="shared" si="15"/>
        <v>0</v>
      </c>
      <c r="O64" s="162">
        <f t="shared" si="16"/>
        <v>0</v>
      </c>
      <c r="P64" s="4"/>
    </row>
    <row r="65" spans="2:16">
      <c r="B65" s="9" t="str">
        <f t="shared" si="6"/>
        <v/>
      </c>
      <c r="C65" s="157">
        <f>IF(D11="","-",+C64+1)</f>
        <v>2057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0"/>
        <v>0</v>
      </c>
      <c r="G65" s="165">
        <f t="shared" si="11"/>
        <v>0</v>
      </c>
      <c r="H65" s="147">
        <f t="shared" si="12"/>
        <v>0</v>
      </c>
      <c r="I65" s="160">
        <f t="shared" si="13"/>
        <v>0</v>
      </c>
      <c r="J65" s="160"/>
      <c r="K65" s="335"/>
      <c r="L65" s="162">
        <f t="shared" si="14"/>
        <v>0</v>
      </c>
      <c r="M65" s="335"/>
      <c r="N65" s="162">
        <f t="shared" si="15"/>
        <v>0</v>
      </c>
      <c r="O65" s="162">
        <f t="shared" si="16"/>
        <v>0</v>
      </c>
      <c r="P65" s="4"/>
    </row>
    <row r="66" spans="2:16">
      <c r="B66" s="9" t="str">
        <f t="shared" si="6"/>
        <v/>
      </c>
      <c r="C66" s="157">
        <f>IF(D11="","-",+C65+1)</f>
        <v>2058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0"/>
        <v>0</v>
      </c>
      <c r="G66" s="165">
        <f t="shared" si="11"/>
        <v>0</v>
      </c>
      <c r="H66" s="147">
        <f t="shared" si="12"/>
        <v>0</v>
      </c>
      <c r="I66" s="160">
        <f t="shared" si="13"/>
        <v>0</v>
      </c>
      <c r="J66" s="160"/>
      <c r="K66" s="335"/>
      <c r="L66" s="162">
        <f t="shared" si="14"/>
        <v>0</v>
      </c>
      <c r="M66" s="335"/>
      <c r="N66" s="162">
        <f t="shared" si="15"/>
        <v>0</v>
      </c>
      <c r="O66" s="162">
        <f t="shared" si="16"/>
        <v>0</v>
      </c>
      <c r="P66" s="4"/>
    </row>
    <row r="67" spans="2:16">
      <c r="B67" s="9" t="str">
        <f t="shared" si="6"/>
        <v/>
      </c>
      <c r="C67" s="157">
        <f>IF(D11="","-",+C66+1)</f>
        <v>2059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0"/>
        <v>0</v>
      </c>
      <c r="G67" s="165">
        <f t="shared" si="11"/>
        <v>0</v>
      </c>
      <c r="H67" s="147">
        <f t="shared" si="12"/>
        <v>0</v>
      </c>
      <c r="I67" s="160">
        <f t="shared" si="13"/>
        <v>0</v>
      </c>
      <c r="J67" s="160"/>
      <c r="K67" s="335"/>
      <c r="L67" s="162">
        <f t="shared" si="14"/>
        <v>0</v>
      </c>
      <c r="M67" s="335"/>
      <c r="N67" s="162">
        <f t="shared" si="15"/>
        <v>0</v>
      </c>
      <c r="O67" s="162">
        <f t="shared" si="16"/>
        <v>0</v>
      </c>
      <c r="P67" s="4"/>
    </row>
    <row r="68" spans="2:16">
      <c r="B68" s="9" t="str">
        <f t="shared" si="6"/>
        <v/>
      </c>
      <c r="C68" s="157">
        <f>IF(D11="","-",+C67+1)</f>
        <v>2060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0"/>
        <v>0</v>
      </c>
      <c r="G68" s="165">
        <f t="shared" si="11"/>
        <v>0</v>
      </c>
      <c r="H68" s="147">
        <f t="shared" si="12"/>
        <v>0</v>
      </c>
      <c r="I68" s="160">
        <f t="shared" si="13"/>
        <v>0</v>
      </c>
      <c r="J68" s="160"/>
      <c r="K68" s="335"/>
      <c r="L68" s="162">
        <f t="shared" si="14"/>
        <v>0</v>
      </c>
      <c r="M68" s="335"/>
      <c r="N68" s="162">
        <f t="shared" si="15"/>
        <v>0</v>
      </c>
      <c r="O68" s="162">
        <f t="shared" si="16"/>
        <v>0</v>
      </c>
      <c r="P68" s="4"/>
    </row>
    <row r="69" spans="2:16">
      <c r="B69" s="9" t="str">
        <f t="shared" si="6"/>
        <v/>
      </c>
      <c r="C69" s="157">
        <f>IF(D11="","-",+C68+1)</f>
        <v>2061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0"/>
        <v>0</v>
      </c>
      <c r="G69" s="165">
        <f t="shared" si="11"/>
        <v>0</v>
      </c>
      <c r="H69" s="147">
        <f t="shared" si="12"/>
        <v>0</v>
      </c>
      <c r="I69" s="160">
        <f t="shared" si="13"/>
        <v>0</v>
      </c>
      <c r="J69" s="160"/>
      <c r="K69" s="335"/>
      <c r="L69" s="162">
        <f t="shared" si="14"/>
        <v>0</v>
      </c>
      <c r="M69" s="335"/>
      <c r="N69" s="162">
        <f t="shared" si="15"/>
        <v>0</v>
      </c>
      <c r="O69" s="162">
        <f t="shared" si="16"/>
        <v>0</v>
      </c>
      <c r="P69" s="4"/>
    </row>
    <row r="70" spans="2:16">
      <c r="B70" s="9" t="str">
        <f t="shared" si="6"/>
        <v/>
      </c>
      <c r="C70" s="157">
        <f>IF(D11="","-",+C69+1)</f>
        <v>2062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0"/>
        <v>0</v>
      </c>
      <c r="G70" s="165">
        <f t="shared" si="11"/>
        <v>0</v>
      </c>
      <c r="H70" s="147">
        <f t="shared" si="12"/>
        <v>0</v>
      </c>
      <c r="I70" s="160">
        <f t="shared" si="13"/>
        <v>0</v>
      </c>
      <c r="J70" s="160"/>
      <c r="K70" s="335"/>
      <c r="L70" s="162">
        <f t="shared" si="14"/>
        <v>0</v>
      </c>
      <c r="M70" s="335"/>
      <c r="N70" s="162">
        <f t="shared" si="15"/>
        <v>0</v>
      </c>
      <c r="O70" s="162">
        <f t="shared" si="16"/>
        <v>0</v>
      </c>
      <c r="P70" s="4"/>
    </row>
    <row r="71" spans="2:16">
      <c r="B71" s="9" t="str">
        <f t="shared" si="6"/>
        <v/>
      </c>
      <c r="C71" s="157">
        <f>IF(D11="","-",+C70+1)</f>
        <v>2063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0"/>
        <v>0</v>
      </c>
      <c r="G71" s="165">
        <f t="shared" si="11"/>
        <v>0</v>
      </c>
      <c r="H71" s="147">
        <f t="shared" si="12"/>
        <v>0</v>
      </c>
      <c r="I71" s="160">
        <f t="shared" si="13"/>
        <v>0</v>
      </c>
      <c r="J71" s="160"/>
      <c r="K71" s="335"/>
      <c r="L71" s="162">
        <f t="shared" si="14"/>
        <v>0</v>
      </c>
      <c r="M71" s="335"/>
      <c r="N71" s="162">
        <f t="shared" si="15"/>
        <v>0</v>
      </c>
      <c r="O71" s="162">
        <f t="shared" si="16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2064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0"/>
        <v>0</v>
      </c>
      <c r="G72" s="169">
        <f t="shared" si="11"/>
        <v>0</v>
      </c>
      <c r="H72" s="169">
        <f t="shared" si="12"/>
        <v>0</v>
      </c>
      <c r="I72" s="172">
        <f t="shared" si="13"/>
        <v>0</v>
      </c>
      <c r="J72" s="160"/>
      <c r="K72" s="336"/>
      <c r="L72" s="173">
        <f t="shared" si="14"/>
        <v>0</v>
      </c>
      <c r="M72" s="336"/>
      <c r="N72" s="173">
        <f t="shared" si="15"/>
        <v>0</v>
      </c>
      <c r="O72" s="173">
        <f t="shared" si="16"/>
        <v>0</v>
      </c>
      <c r="P72" s="4"/>
    </row>
    <row r="73" spans="2:16">
      <c r="C73" s="158" t="s">
        <v>72</v>
      </c>
      <c r="D73" s="115"/>
      <c r="E73" s="115">
        <f>SUM(E17:E72)</f>
        <v>11456065.000000002</v>
      </c>
      <c r="F73" s="115"/>
      <c r="G73" s="115">
        <f>SUM(G17:G72)</f>
        <v>42609415.277699105</v>
      </c>
      <c r="H73" s="115">
        <f>SUM(H17:H72)</f>
        <v>42609415.277699105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3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1467214.2092134841</v>
      </c>
      <c r="N87" s="202">
        <f>IF(J92&lt;D11,0,VLOOKUP(J92,C17:O72,11))</f>
        <v>1467214.2092134841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1475715.2889659985</v>
      </c>
      <c r="N88" s="204">
        <f>IF(J92&lt;D11,0,VLOOKUP(J92,C99:P154,7))</f>
        <v>1475715.2889659985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WFEC New 138 kV Ties: Sayre to Erick (WFEC) Line &amp; Atoka and Tupelo station work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8501.0797525143716</v>
      </c>
      <c r="N89" s="207">
        <f>+N88-N87</f>
        <v>8501.0797525143716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TP2006054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11456065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2009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10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249045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2009</v>
      </c>
      <c r="D99" s="366">
        <v>0</v>
      </c>
      <c r="E99" s="368">
        <v>26281</v>
      </c>
      <c r="F99" s="371">
        <v>8804059</v>
      </c>
      <c r="G99" s="373">
        <v>4402030</v>
      </c>
      <c r="H99" s="374">
        <v>669894</v>
      </c>
      <c r="I99" s="375">
        <v>669894</v>
      </c>
      <c r="J99" s="162">
        <f t="shared" ref="J99:J130" si="17">+I99-H99</f>
        <v>0</v>
      </c>
      <c r="K99" s="162"/>
      <c r="L99" s="337">
        <f t="shared" ref="L99:L104" si="18">H99</f>
        <v>669894</v>
      </c>
      <c r="M99" s="161">
        <f t="shared" ref="M99:M130" si="19">IF(L99&lt;&gt;0,+H99-L99,0)</f>
        <v>0</v>
      </c>
      <c r="N99" s="337">
        <f t="shared" ref="N99:N104" si="20">I99</f>
        <v>669894</v>
      </c>
      <c r="O99" s="161">
        <f t="shared" ref="O99:O130" si="21">IF(N99&lt;&gt;0,+I99-N99,0)</f>
        <v>0</v>
      </c>
      <c r="P99" s="161">
        <f t="shared" ref="P99:P130" si="22">+O99-M99</f>
        <v>0</v>
      </c>
    </row>
    <row r="100" spans="1:16">
      <c r="B100" s="9" t="str">
        <f>IF(D100=F99,"","IU")</f>
        <v>IU</v>
      </c>
      <c r="C100" s="157">
        <f>IF(D93="","-",+C99+1)</f>
        <v>2010</v>
      </c>
      <c r="D100" s="366">
        <v>12205867</v>
      </c>
      <c r="E100" s="368">
        <v>239846</v>
      </c>
      <c r="F100" s="371">
        <v>11966021</v>
      </c>
      <c r="G100" s="371">
        <v>12085944</v>
      </c>
      <c r="H100" s="368">
        <v>2183449.7644146364</v>
      </c>
      <c r="I100" s="370">
        <v>2183449.7644146364</v>
      </c>
      <c r="J100" s="162">
        <f t="shared" si="17"/>
        <v>0</v>
      </c>
      <c r="K100" s="162"/>
      <c r="L100" s="380">
        <f t="shared" si="18"/>
        <v>2183449.7644146364</v>
      </c>
      <c r="M100" s="381">
        <f t="shared" si="19"/>
        <v>0</v>
      </c>
      <c r="N100" s="380">
        <f t="shared" si="20"/>
        <v>2183449.7644146364</v>
      </c>
      <c r="O100" s="162">
        <f t="shared" si="21"/>
        <v>0</v>
      </c>
      <c r="P100" s="162">
        <f t="shared" si="22"/>
        <v>0</v>
      </c>
    </row>
    <row r="101" spans="1:16">
      <c r="B101" s="9" t="str">
        <f t="shared" ref="B101:B154" si="23">IF(D101=F100,"","IU")</f>
        <v/>
      </c>
      <c r="C101" s="157">
        <f>IF(D93="","-",+C100+1)</f>
        <v>2011</v>
      </c>
      <c r="D101" s="366">
        <v>11966021</v>
      </c>
      <c r="E101" s="368">
        <v>235234</v>
      </c>
      <c r="F101" s="371">
        <v>11730787</v>
      </c>
      <c r="G101" s="371">
        <v>11848404</v>
      </c>
      <c r="H101" s="368">
        <v>1891800.0972614796</v>
      </c>
      <c r="I101" s="370">
        <v>1891800.0972614796</v>
      </c>
      <c r="J101" s="162">
        <f t="shared" si="17"/>
        <v>0</v>
      </c>
      <c r="K101" s="162"/>
      <c r="L101" s="380">
        <f t="shared" si="18"/>
        <v>1891800.0972614796</v>
      </c>
      <c r="M101" s="381">
        <f t="shared" si="19"/>
        <v>0</v>
      </c>
      <c r="N101" s="380">
        <f t="shared" si="20"/>
        <v>1891800.0972614796</v>
      </c>
      <c r="O101" s="162">
        <f t="shared" si="21"/>
        <v>0</v>
      </c>
      <c r="P101" s="162">
        <f t="shared" si="22"/>
        <v>0</v>
      </c>
    </row>
    <row r="102" spans="1:16">
      <c r="B102" s="9" t="str">
        <f t="shared" si="23"/>
        <v/>
      </c>
      <c r="C102" s="157">
        <f>IF(D93="","-",+C101+1)</f>
        <v>2012</v>
      </c>
      <c r="D102" s="366">
        <v>11730787</v>
      </c>
      <c r="E102" s="368">
        <v>235234</v>
      </c>
      <c r="F102" s="371">
        <v>11495553</v>
      </c>
      <c r="G102" s="371">
        <v>11613170</v>
      </c>
      <c r="H102" s="368">
        <v>1905852.1655461292</v>
      </c>
      <c r="I102" s="370">
        <v>1905852.1655461292</v>
      </c>
      <c r="J102" s="162">
        <v>0</v>
      </c>
      <c r="K102" s="162"/>
      <c r="L102" s="380">
        <f t="shared" si="18"/>
        <v>1905852.1655461292</v>
      </c>
      <c r="M102" s="381">
        <f>IF(L102&lt;&gt;0,+H102-L102,0)</f>
        <v>0</v>
      </c>
      <c r="N102" s="380">
        <f t="shared" si="20"/>
        <v>1905852.1655461292</v>
      </c>
      <c r="O102" s="162">
        <f>IF(N102&lt;&gt;0,+I102-N102,0)</f>
        <v>0</v>
      </c>
      <c r="P102" s="162">
        <f>+O102-M102</f>
        <v>0</v>
      </c>
    </row>
    <row r="103" spans="1:16">
      <c r="B103" s="9" t="str">
        <f t="shared" si="23"/>
        <v/>
      </c>
      <c r="C103" s="157">
        <f>IF(D93="","-",+C102+1)</f>
        <v>2013</v>
      </c>
      <c r="D103" s="366">
        <v>11495553</v>
      </c>
      <c r="E103" s="368">
        <v>235234</v>
      </c>
      <c r="F103" s="371">
        <v>11260319</v>
      </c>
      <c r="G103" s="371">
        <v>11377936</v>
      </c>
      <c r="H103" s="368">
        <v>1872969.4877104962</v>
      </c>
      <c r="I103" s="370">
        <v>1872969.4877104962</v>
      </c>
      <c r="J103" s="162">
        <v>0</v>
      </c>
      <c r="K103" s="162"/>
      <c r="L103" s="380">
        <f t="shared" si="18"/>
        <v>1872969.4877104962</v>
      </c>
      <c r="M103" s="381">
        <f>IF(L103&lt;&gt;0,+H103-L103,0)</f>
        <v>0</v>
      </c>
      <c r="N103" s="380">
        <f t="shared" si="20"/>
        <v>1872969.4877104962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3"/>
        <v>IU</v>
      </c>
      <c r="C104" s="157">
        <f>IF(D93="","-",+C103+1)</f>
        <v>2014</v>
      </c>
      <c r="D104" s="366">
        <v>10484236</v>
      </c>
      <c r="E104" s="368">
        <v>220309</v>
      </c>
      <c r="F104" s="371">
        <v>10263927</v>
      </c>
      <c r="G104" s="371">
        <v>10374081.5</v>
      </c>
      <c r="H104" s="368">
        <v>1678862.4521722798</v>
      </c>
      <c r="I104" s="370">
        <v>1678862.4521722798</v>
      </c>
      <c r="J104" s="162">
        <v>0</v>
      </c>
      <c r="K104" s="162"/>
      <c r="L104" s="380">
        <f t="shared" si="18"/>
        <v>1678862.4521722798</v>
      </c>
      <c r="M104" s="381">
        <f>IF(L104&lt;&gt;0,+H104-L104,0)</f>
        <v>0</v>
      </c>
      <c r="N104" s="380">
        <f t="shared" si="20"/>
        <v>1678862.4521722798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3"/>
        <v/>
      </c>
      <c r="C105" s="157">
        <f>IF(D93="","-",+C104+1)</f>
        <v>2015</v>
      </c>
      <c r="D105" s="366">
        <v>10263927</v>
      </c>
      <c r="E105" s="368">
        <v>220309</v>
      </c>
      <c r="F105" s="371">
        <v>10043618</v>
      </c>
      <c r="G105" s="371">
        <v>10153772.5</v>
      </c>
      <c r="H105" s="368">
        <v>1605709.6172709188</v>
      </c>
      <c r="I105" s="370">
        <v>1605709.6172709188</v>
      </c>
      <c r="J105" s="162">
        <f t="shared" si="17"/>
        <v>0</v>
      </c>
      <c r="K105" s="162"/>
      <c r="L105" s="380">
        <f>H105</f>
        <v>1605709.6172709188</v>
      </c>
      <c r="M105" s="381">
        <f>IF(L105&lt;&gt;0,+H105-L105,0)</f>
        <v>0</v>
      </c>
      <c r="N105" s="380">
        <f>I105</f>
        <v>1605709.6172709188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3"/>
        <v/>
      </c>
      <c r="C106" s="157">
        <f>IF(D93="","-",+C105+1)</f>
        <v>2016</v>
      </c>
      <c r="D106" s="366">
        <v>10043618</v>
      </c>
      <c r="E106" s="368">
        <v>249045</v>
      </c>
      <c r="F106" s="371">
        <v>9794573</v>
      </c>
      <c r="G106" s="371">
        <v>9919095.5</v>
      </c>
      <c r="H106" s="368">
        <v>1527772.6245386968</v>
      </c>
      <c r="I106" s="370">
        <v>1527772.6245386968</v>
      </c>
      <c r="J106" s="162">
        <v>0</v>
      </c>
      <c r="K106" s="162"/>
      <c r="L106" s="380">
        <f>H106</f>
        <v>1527772.6245386968</v>
      </c>
      <c r="M106" s="381">
        <f>IF(L106&lt;&gt;0,+H106-L106,0)</f>
        <v>0</v>
      </c>
      <c r="N106" s="380">
        <f>I106</f>
        <v>1527772.6245386968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3"/>
        <v/>
      </c>
      <c r="C107" s="157">
        <f>IF(D93="","-",+C106+1)</f>
        <v>2017</v>
      </c>
      <c r="D107" s="158">
        <f>IF(F106+SUM(E$99:E106)=D$92,F106,D$92-SUM(E$99:E106))</f>
        <v>9794573</v>
      </c>
      <c r="E107" s="165">
        <f>IF(+J96&lt;F106,J96,D107)</f>
        <v>249045</v>
      </c>
      <c r="F107" s="163">
        <f t="shared" ref="F107:F130" si="24">+D107-E107</f>
        <v>9545528</v>
      </c>
      <c r="G107" s="163">
        <f t="shared" ref="G107:G130" si="25">+(F107+D107)/2</f>
        <v>9670050.5</v>
      </c>
      <c r="H107" s="167">
        <f t="shared" ref="H107:H154" si="26">+J$94*G107+E107</f>
        <v>1475715.2889659985</v>
      </c>
      <c r="I107" s="317">
        <f t="shared" ref="I107:I154" si="27">+J$95*G107+E107</f>
        <v>1475715.2889659985</v>
      </c>
      <c r="J107" s="162">
        <f t="shared" si="17"/>
        <v>0</v>
      </c>
      <c r="K107" s="162"/>
      <c r="L107" s="335"/>
      <c r="M107" s="162">
        <f t="shared" si="19"/>
        <v>0</v>
      </c>
      <c r="N107" s="335"/>
      <c r="O107" s="162">
        <f t="shared" si="21"/>
        <v>0</v>
      </c>
      <c r="P107" s="162">
        <f t="shared" si="22"/>
        <v>0</v>
      </c>
    </row>
    <row r="108" spans="1:16">
      <c r="B108" s="9" t="str">
        <f t="shared" si="23"/>
        <v/>
      </c>
      <c r="C108" s="157">
        <f>IF(D93="","-",+C107+1)</f>
        <v>2018</v>
      </c>
      <c r="D108" s="158">
        <f>IF(F107+SUM(E$99:E107)=D$92,F107,D$92-SUM(E$99:E107))</f>
        <v>9545528</v>
      </c>
      <c r="E108" s="165">
        <f>IF(+J96&lt;F107,J96,D108)</f>
        <v>249045</v>
      </c>
      <c r="F108" s="163">
        <f t="shared" si="24"/>
        <v>9296483</v>
      </c>
      <c r="G108" s="163">
        <f t="shared" si="25"/>
        <v>9421005.5</v>
      </c>
      <c r="H108" s="167">
        <f t="shared" si="26"/>
        <v>1444123.3027488077</v>
      </c>
      <c r="I108" s="317">
        <f t="shared" si="27"/>
        <v>1444123.3027488077</v>
      </c>
      <c r="J108" s="162">
        <f t="shared" si="17"/>
        <v>0</v>
      </c>
      <c r="K108" s="162"/>
      <c r="L108" s="335"/>
      <c r="M108" s="162">
        <f t="shared" si="19"/>
        <v>0</v>
      </c>
      <c r="N108" s="335"/>
      <c r="O108" s="162">
        <f t="shared" si="21"/>
        <v>0</v>
      </c>
      <c r="P108" s="162">
        <f t="shared" si="22"/>
        <v>0</v>
      </c>
    </row>
    <row r="109" spans="1:16">
      <c r="B109" s="9" t="str">
        <f t="shared" si="23"/>
        <v/>
      </c>
      <c r="C109" s="157">
        <f>IF(D93="","-",+C108+1)</f>
        <v>2019</v>
      </c>
      <c r="D109" s="158">
        <f>IF(F108+SUM(E$99:E108)=D$92,F108,D$92-SUM(E$99:E108))</f>
        <v>9296483</v>
      </c>
      <c r="E109" s="165">
        <f>IF(+J96&lt;F108,J96,D109)</f>
        <v>249045</v>
      </c>
      <c r="F109" s="163">
        <f t="shared" si="24"/>
        <v>9047438</v>
      </c>
      <c r="G109" s="163">
        <f t="shared" si="25"/>
        <v>9171960.5</v>
      </c>
      <c r="H109" s="167">
        <f t="shared" si="26"/>
        <v>1412531.3165316172</v>
      </c>
      <c r="I109" s="317">
        <f t="shared" si="27"/>
        <v>1412531.3165316172</v>
      </c>
      <c r="J109" s="162">
        <f t="shared" si="17"/>
        <v>0</v>
      </c>
      <c r="K109" s="162"/>
      <c r="L109" s="335"/>
      <c r="M109" s="162">
        <f t="shared" si="19"/>
        <v>0</v>
      </c>
      <c r="N109" s="335"/>
      <c r="O109" s="162">
        <f t="shared" si="21"/>
        <v>0</v>
      </c>
      <c r="P109" s="162">
        <f t="shared" si="22"/>
        <v>0</v>
      </c>
    </row>
    <row r="110" spans="1:16">
      <c r="B110" s="9" t="str">
        <f t="shared" si="23"/>
        <v/>
      </c>
      <c r="C110" s="157">
        <f>IF(D93="","-",+C109+1)</f>
        <v>2020</v>
      </c>
      <c r="D110" s="158">
        <f>IF(F109+SUM(E$99:E109)=D$92,F109,D$92-SUM(E$99:E109))</f>
        <v>9047438</v>
      </c>
      <c r="E110" s="165">
        <f>IF(+J96&lt;F109,J96,D110)</f>
        <v>249045</v>
      </c>
      <c r="F110" s="163">
        <f t="shared" si="24"/>
        <v>8798393</v>
      </c>
      <c r="G110" s="163">
        <f t="shared" si="25"/>
        <v>8922915.5</v>
      </c>
      <c r="H110" s="167">
        <f t="shared" si="26"/>
        <v>1380939.3303144267</v>
      </c>
      <c r="I110" s="317">
        <f t="shared" si="27"/>
        <v>1380939.3303144267</v>
      </c>
      <c r="J110" s="162">
        <f t="shared" si="17"/>
        <v>0</v>
      </c>
      <c r="K110" s="162"/>
      <c r="L110" s="335"/>
      <c r="M110" s="162">
        <f t="shared" si="19"/>
        <v>0</v>
      </c>
      <c r="N110" s="335"/>
      <c r="O110" s="162">
        <f t="shared" si="21"/>
        <v>0</v>
      </c>
      <c r="P110" s="162">
        <f t="shared" si="22"/>
        <v>0</v>
      </c>
    </row>
    <row r="111" spans="1:16">
      <c r="B111" s="9" t="str">
        <f t="shared" si="23"/>
        <v/>
      </c>
      <c r="C111" s="157">
        <f>IF(D93="","-",+C110+1)</f>
        <v>2021</v>
      </c>
      <c r="D111" s="158">
        <f>IF(F110+SUM(E$99:E110)=D$92,F110,D$92-SUM(E$99:E110))</f>
        <v>8798393</v>
      </c>
      <c r="E111" s="165">
        <f>IF(+J96&lt;F110,J96,D111)</f>
        <v>249045</v>
      </c>
      <c r="F111" s="163">
        <f t="shared" si="24"/>
        <v>8549348</v>
      </c>
      <c r="G111" s="163">
        <f t="shared" si="25"/>
        <v>8673870.5</v>
      </c>
      <c r="H111" s="167">
        <f t="shared" si="26"/>
        <v>1349347.3440972359</v>
      </c>
      <c r="I111" s="317">
        <f t="shared" si="27"/>
        <v>1349347.3440972359</v>
      </c>
      <c r="J111" s="162">
        <f t="shared" si="17"/>
        <v>0</v>
      </c>
      <c r="K111" s="162"/>
      <c r="L111" s="335"/>
      <c r="M111" s="162">
        <f t="shared" si="19"/>
        <v>0</v>
      </c>
      <c r="N111" s="335"/>
      <c r="O111" s="162">
        <f t="shared" si="21"/>
        <v>0</v>
      </c>
      <c r="P111" s="162">
        <f t="shared" si="22"/>
        <v>0</v>
      </c>
    </row>
    <row r="112" spans="1:16">
      <c r="B112" s="9" t="str">
        <f t="shared" si="23"/>
        <v/>
      </c>
      <c r="C112" s="157">
        <f>IF(D93="","-",+C111+1)</f>
        <v>2022</v>
      </c>
      <c r="D112" s="158">
        <f>IF(F111+SUM(E$99:E111)=D$92,F111,D$92-SUM(E$99:E111))</f>
        <v>8549348</v>
      </c>
      <c r="E112" s="165">
        <f>IF(+J96&lt;F111,J96,D112)</f>
        <v>249045</v>
      </c>
      <c r="F112" s="163">
        <f t="shared" si="24"/>
        <v>8300303</v>
      </c>
      <c r="G112" s="163">
        <f t="shared" si="25"/>
        <v>8424825.5</v>
      </c>
      <c r="H112" s="167">
        <f t="shared" si="26"/>
        <v>1317755.3578800454</v>
      </c>
      <c r="I112" s="317">
        <f t="shared" si="27"/>
        <v>1317755.3578800454</v>
      </c>
      <c r="J112" s="162">
        <f t="shared" si="17"/>
        <v>0</v>
      </c>
      <c r="K112" s="162"/>
      <c r="L112" s="335"/>
      <c r="M112" s="162">
        <f t="shared" si="19"/>
        <v>0</v>
      </c>
      <c r="N112" s="335"/>
      <c r="O112" s="162">
        <f t="shared" si="21"/>
        <v>0</v>
      </c>
      <c r="P112" s="162">
        <f t="shared" si="22"/>
        <v>0</v>
      </c>
    </row>
    <row r="113" spans="2:16">
      <c r="B113" s="9" t="str">
        <f t="shared" si="23"/>
        <v/>
      </c>
      <c r="C113" s="157">
        <f>IF(D93="","-",+C112+1)</f>
        <v>2023</v>
      </c>
      <c r="D113" s="158">
        <f>IF(F112+SUM(E$99:E112)=D$92,F112,D$92-SUM(E$99:E112))</f>
        <v>8300303</v>
      </c>
      <c r="E113" s="165">
        <f>IF(+J96&lt;F112,J96,D113)</f>
        <v>249045</v>
      </c>
      <c r="F113" s="163">
        <f t="shared" si="24"/>
        <v>8051258</v>
      </c>
      <c r="G113" s="163">
        <f t="shared" si="25"/>
        <v>8175780.5</v>
      </c>
      <c r="H113" s="167">
        <f t="shared" si="26"/>
        <v>1286163.3716628547</v>
      </c>
      <c r="I113" s="317">
        <f t="shared" si="27"/>
        <v>1286163.3716628547</v>
      </c>
      <c r="J113" s="162">
        <f t="shared" si="17"/>
        <v>0</v>
      </c>
      <c r="K113" s="162"/>
      <c r="L113" s="335"/>
      <c r="M113" s="162">
        <f t="shared" si="19"/>
        <v>0</v>
      </c>
      <c r="N113" s="335"/>
      <c r="O113" s="162">
        <f t="shared" si="21"/>
        <v>0</v>
      </c>
      <c r="P113" s="162">
        <f t="shared" si="22"/>
        <v>0</v>
      </c>
    </row>
    <row r="114" spans="2:16">
      <c r="B114" s="9" t="str">
        <f t="shared" si="23"/>
        <v/>
      </c>
      <c r="C114" s="157">
        <f>IF(D93="","-",+C113+1)</f>
        <v>2024</v>
      </c>
      <c r="D114" s="158">
        <f>IF(F113+SUM(E$99:E113)=D$92,F113,D$92-SUM(E$99:E113))</f>
        <v>8051258</v>
      </c>
      <c r="E114" s="165">
        <f>IF(+J96&lt;F113,J96,D114)</f>
        <v>249045</v>
      </c>
      <c r="F114" s="163">
        <f t="shared" si="24"/>
        <v>7802213</v>
      </c>
      <c r="G114" s="163">
        <f t="shared" si="25"/>
        <v>7926735.5</v>
      </c>
      <c r="H114" s="167">
        <f t="shared" si="26"/>
        <v>1254571.3854456642</v>
      </c>
      <c r="I114" s="317">
        <f t="shared" si="27"/>
        <v>1254571.3854456642</v>
      </c>
      <c r="J114" s="162">
        <f t="shared" si="17"/>
        <v>0</v>
      </c>
      <c r="K114" s="162"/>
      <c r="L114" s="335"/>
      <c r="M114" s="162">
        <f t="shared" si="19"/>
        <v>0</v>
      </c>
      <c r="N114" s="335"/>
      <c r="O114" s="162">
        <f t="shared" si="21"/>
        <v>0</v>
      </c>
      <c r="P114" s="162">
        <f t="shared" si="22"/>
        <v>0</v>
      </c>
    </row>
    <row r="115" spans="2:16">
      <c r="B115" s="9" t="str">
        <f t="shared" si="23"/>
        <v/>
      </c>
      <c r="C115" s="157">
        <f>IF(D93="","-",+C114+1)</f>
        <v>2025</v>
      </c>
      <c r="D115" s="158">
        <f>IF(F114+SUM(E$99:E114)=D$92,F114,D$92-SUM(E$99:E114))</f>
        <v>7802213</v>
      </c>
      <c r="E115" s="165">
        <f>IF(+J96&lt;F114,J96,D115)</f>
        <v>249045</v>
      </c>
      <c r="F115" s="163">
        <f t="shared" si="24"/>
        <v>7553168</v>
      </c>
      <c r="G115" s="163">
        <f t="shared" si="25"/>
        <v>7677690.5</v>
      </c>
      <c r="H115" s="167">
        <f t="shared" si="26"/>
        <v>1222979.3992284737</v>
      </c>
      <c r="I115" s="317">
        <f t="shared" si="27"/>
        <v>1222979.3992284737</v>
      </c>
      <c r="J115" s="162">
        <f t="shared" si="17"/>
        <v>0</v>
      </c>
      <c r="K115" s="162"/>
      <c r="L115" s="335"/>
      <c r="M115" s="162">
        <f t="shared" si="19"/>
        <v>0</v>
      </c>
      <c r="N115" s="335"/>
      <c r="O115" s="162">
        <f t="shared" si="21"/>
        <v>0</v>
      </c>
      <c r="P115" s="162">
        <f t="shared" si="22"/>
        <v>0</v>
      </c>
    </row>
    <row r="116" spans="2:16">
      <c r="B116" s="9" t="str">
        <f t="shared" si="23"/>
        <v/>
      </c>
      <c r="C116" s="157">
        <f>IF(D93="","-",+C115+1)</f>
        <v>2026</v>
      </c>
      <c r="D116" s="158">
        <f>IF(F115+SUM(E$99:E115)=D$92,F115,D$92-SUM(E$99:E115))</f>
        <v>7553168</v>
      </c>
      <c r="E116" s="165">
        <f>IF(+J96&lt;F115,J96,D116)</f>
        <v>249045</v>
      </c>
      <c r="F116" s="163">
        <f t="shared" si="24"/>
        <v>7304123</v>
      </c>
      <c r="G116" s="163">
        <f t="shared" si="25"/>
        <v>7428645.5</v>
      </c>
      <c r="H116" s="167">
        <f t="shared" si="26"/>
        <v>1191387.4130112831</v>
      </c>
      <c r="I116" s="317">
        <f t="shared" si="27"/>
        <v>1191387.4130112831</v>
      </c>
      <c r="J116" s="162">
        <f t="shared" si="17"/>
        <v>0</v>
      </c>
      <c r="K116" s="162"/>
      <c r="L116" s="335"/>
      <c r="M116" s="162">
        <f t="shared" si="19"/>
        <v>0</v>
      </c>
      <c r="N116" s="335"/>
      <c r="O116" s="162">
        <f t="shared" si="21"/>
        <v>0</v>
      </c>
      <c r="P116" s="162">
        <f t="shared" si="22"/>
        <v>0</v>
      </c>
    </row>
    <row r="117" spans="2:16">
      <c r="B117" s="9" t="str">
        <f t="shared" si="23"/>
        <v/>
      </c>
      <c r="C117" s="157">
        <f>IF(D93="","-",+C116+1)</f>
        <v>2027</v>
      </c>
      <c r="D117" s="158">
        <f>IF(F116+SUM(E$99:E116)=D$92,F116,D$92-SUM(E$99:E116))</f>
        <v>7304123</v>
      </c>
      <c r="E117" s="165">
        <f>IF(+J96&lt;F116,J96,D117)</f>
        <v>249045</v>
      </c>
      <c r="F117" s="163">
        <f t="shared" si="24"/>
        <v>7055078</v>
      </c>
      <c r="G117" s="163">
        <f t="shared" si="25"/>
        <v>7179600.5</v>
      </c>
      <c r="H117" s="167">
        <f t="shared" si="26"/>
        <v>1159795.4267940924</v>
      </c>
      <c r="I117" s="317">
        <f t="shared" si="27"/>
        <v>1159795.4267940924</v>
      </c>
      <c r="J117" s="162">
        <f t="shared" si="17"/>
        <v>0</v>
      </c>
      <c r="K117" s="162"/>
      <c r="L117" s="335"/>
      <c r="M117" s="162">
        <f t="shared" si="19"/>
        <v>0</v>
      </c>
      <c r="N117" s="335"/>
      <c r="O117" s="162">
        <f t="shared" si="21"/>
        <v>0</v>
      </c>
      <c r="P117" s="162">
        <f t="shared" si="22"/>
        <v>0</v>
      </c>
    </row>
    <row r="118" spans="2:16">
      <c r="B118" s="9" t="str">
        <f t="shared" si="23"/>
        <v/>
      </c>
      <c r="C118" s="157">
        <f>IF(D93="","-",+C117+1)</f>
        <v>2028</v>
      </c>
      <c r="D118" s="158">
        <f>IF(F117+SUM(E$99:E117)=D$92,F117,D$92-SUM(E$99:E117))</f>
        <v>7055078</v>
      </c>
      <c r="E118" s="165">
        <f>IF(+J96&lt;F117,J96,D118)</f>
        <v>249045</v>
      </c>
      <c r="F118" s="163">
        <f t="shared" si="24"/>
        <v>6806033</v>
      </c>
      <c r="G118" s="163">
        <f t="shared" si="25"/>
        <v>6930555.5</v>
      </c>
      <c r="H118" s="167">
        <f t="shared" si="26"/>
        <v>1128203.4405769017</v>
      </c>
      <c r="I118" s="317">
        <f t="shared" si="27"/>
        <v>1128203.4405769017</v>
      </c>
      <c r="J118" s="162">
        <f t="shared" si="17"/>
        <v>0</v>
      </c>
      <c r="K118" s="162"/>
      <c r="L118" s="335"/>
      <c r="M118" s="162">
        <f t="shared" si="19"/>
        <v>0</v>
      </c>
      <c r="N118" s="335"/>
      <c r="O118" s="162">
        <f t="shared" si="21"/>
        <v>0</v>
      </c>
      <c r="P118" s="162">
        <f t="shared" si="22"/>
        <v>0</v>
      </c>
    </row>
    <row r="119" spans="2:16">
      <c r="B119" s="9" t="str">
        <f t="shared" si="23"/>
        <v/>
      </c>
      <c r="C119" s="157">
        <f>IF(D93="","-",+C118+1)</f>
        <v>2029</v>
      </c>
      <c r="D119" s="158">
        <f>IF(F118+SUM(E$99:E118)=D$92,F118,D$92-SUM(E$99:E118))</f>
        <v>6806033</v>
      </c>
      <c r="E119" s="165">
        <f>IF(+J96&lt;F118,J96,D119)</f>
        <v>249045</v>
      </c>
      <c r="F119" s="163">
        <f t="shared" si="24"/>
        <v>6556988</v>
      </c>
      <c r="G119" s="163">
        <f t="shared" si="25"/>
        <v>6681510.5</v>
      </c>
      <c r="H119" s="167">
        <f t="shared" si="26"/>
        <v>1096611.4543597111</v>
      </c>
      <c r="I119" s="317">
        <f t="shared" si="27"/>
        <v>1096611.4543597111</v>
      </c>
      <c r="J119" s="162">
        <f t="shared" si="17"/>
        <v>0</v>
      </c>
      <c r="K119" s="162"/>
      <c r="L119" s="335"/>
      <c r="M119" s="162">
        <f t="shared" si="19"/>
        <v>0</v>
      </c>
      <c r="N119" s="335"/>
      <c r="O119" s="162">
        <f t="shared" si="21"/>
        <v>0</v>
      </c>
      <c r="P119" s="162">
        <f t="shared" si="22"/>
        <v>0</v>
      </c>
    </row>
    <row r="120" spans="2:16">
      <c r="B120" s="9" t="str">
        <f t="shared" si="23"/>
        <v/>
      </c>
      <c r="C120" s="157">
        <f>IF(D93="","-",+C119+1)</f>
        <v>2030</v>
      </c>
      <c r="D120" s="158">
        <f>IF(F119+SUM(E$99:E119)=D$92,F119,D$92-SUM(E$99:E119))</f>
        <v>6556988</v>
      </c>
      <c r="E120" s="165">
        <f>IF(+J96&lt;F119,J96,D120)</f>
        <v>249045</v>
      </c>
      <c r="F120" s="163">
        <f t="shared" si="24"/>
        <v>6307943</v>
      </c>
      <c r="G120" s="163">
        <f t="shared" si="25"/>
        <v>6432465.5</v>
      </c>
      <c r="H120" s="167">
        <f t="shared" si="26"/>
        <v>1065019.4681425206</v>
      </c>
      <c r="I120" s="317">
        <f t="shared" si="27"/>
        <v>1065019.4681425206</v>
      </c>
      <c r="J120" s="162">
        <f t="shared" si="17"/>
        <v>0</v>
      </c>
      <c r="K120" s="162"/>
      <c r="L120" s="335"/>
      <c r="M120" s="162">
        <f t="shared" si="19"/>
        <v>0</v>
      </c>
      <c r="N120" s="335"/>
      <c r="O120" s="162">
        <f t="shared" si="21"/>
        <v>0</v>
      </c>
      <c r="P120" s="162">
        <f t="shared" si="22"/>
        <v>0</v>
      </c>
    </row>
    <row r="121" spans="2:16">
      <c r="B121" s="9" t="str">
        <f t="shared" si="23"/>
        <v/>
      </c>
      <c r="C121" s="157">
        <f>IF(D93="","-",+C120+1)</f>
        <v>2031</v>
      </c>
      <c r="D121" s="158">
        <f>IF(F120+SUM(E$99:E120)=D$92,F120,D$92-SUM(E$99:E120))</f>
        <v>6307943</v>
      </c>
      <c r="E121" s="165">
        <f>IF(+J96&lt;F120,J96,D121)</f>
        <v>249045</v>
      </c>
      <c r="F121" s="163">
        <f t="shared" si="24"/>
        <v>6058898</v>
      </c>
      <c r="G121" s="163">
        <f t="shared" si="25"/>
        <v>6183420.5</v>
      </c>
      <c r="H121" s="167">
        <f t="shared" si="26"/>
        <v>1033427.48192533</v>
      </c>
      <c r="I121" s="317">
        <f t="shared" si="27"/>
        <v>1033427.48192533</v>
      </c>
      <c r="J121" s="162">
        <f t="shared" si="17"/>
        <v>0</v>
      </c>
      <c r="K121" s="162"/>
      <c r="L121" s="335"/>
      <c r="M121" s="162">
        <f t="shared" si="19"/>
        <v>0</v>
      </c>
      <c r="N121" s="335"/>
      <c r="O121" s="162">
        <f t="shared" si="21"/>
        <v>0</v>
      </c>
      <c r="P121" s="162">
        <f t="shared" si="22"/>
        <v>0</v>
      </c>
    </row>
    <row r="122" spans="2:16">
      <c r="B122" s="9" t="str">
        <f t="shared" si="23"/>
        <v/>
      </c>
      <c r="C122" s="157">
        <f>IF(D93="","-",+C121+1)</f>
        <v>2032</v>
      </c>
      <c r="D122" s="158">
        <f>IF(F121+SUM(E$99:E121)=D$92,F121,D$92-SUM(E$99:E121))</f>
        <v>6058898</v>
      </c>
      <c r="E122" s="165">
        <f>IF(+J96&lt;F121,J96,D122)</f>
        <v>249045</v>
      </c>
      <c r="F122" s="163">
        <f t="shared" si="24"/>
        <v>5809853</v>
      </c>
      <c r="G122" s="163">
        <f t="shared" si="25"/>
        <v>5934375.5</v>
      </c>
      <c r="H122" s="167">
        <f t="shared" si="26"/>
        <v>1001835.4957081394</v>
      </c>
      <c r="I122" s="317">
        <f t="shared" si="27"/>
        <v>1001835.4957081394</v>
      </c>
      <c r="J122" s="162">
        <f t="shared" si="17"/>
        <v>0</v>
      </c>
      <c r="K122" s="162"/>
      <c r="L122" s="335"/>
      <c r="M122" s="162">
        <f t="shared" si="19"/>
        <v>0</v>
      </c>
      <c r="N122" s="335"/>
      <c r="O122" s="162">
        <f t="shared" si="21"/>
        <v>0</v>
      </c>
      <c r="P122" s="162">
        <f t="shared" si="22"/>
        <v>0</v>
      </c>
    </row>
    <row r="123" spans="2:16">
      <c r="B123" s="9" t="str">
        <f t="shared" si="23"/>
        <v/>
      </c>
      <c r="C123" s="157">
        <f>IF(D93="","-",+C122+1)</f>
        <v>2033</v>
      </c>
      <c r="D123" s="158">
        <f>IF(F122+SUM(E$99:E122)=D$92,F122,D$92-SUM(E$99:E122))</f>
        <v>5809853</v>
      </c>
      <c r="E123" s="165">
        <f>IF(+J96&lt;F122,J96,D123)</f>
        <v>249045</v>
      </c>
      <c r="F123" s="163">
        <f t="shared" si="24"/>
        <v>5560808</v>
      </c>
      <c r="G123" s="163">
        <f t="shared" si="25"/>
        <v>5685330.5</v>
      </c>
      <c r="H123" s="167">
        <f t="shared" si="26"/>
        <v>970243.50949094875</v>
      </c>
      <c r="I123" s="317">
        <f t="shared" si="27"/>
        <v>970243.50949094875</v>
      </c>
      <c r="J123" s="162">
        <f t="shared" si="17"/>
        <v>0</v>
      </c>
      <c r="K123" s="162"/>
      <c r="L123" s="335"/>
      <c r="M123" s="162">
        <f t="shared" si="19"/>
        <v>0</v>
      </c>
      <c r="N123" s="335"/>
      <c r="O123" s="162">
        <f t="shared" si="21"/>
        <v>0</v>
      </c>
      <c r="P123" s="162">
        <f t="shared" si="22"/>
        <v>0</v>
      </c>
    </row>
    <row r="124" spans="2:16">
      <c r="B124" s="9" t="str">
        <f t="shared" si="23"/>
        <v/>
      </c>
      <c r="C124" s="157">
        <f>IF(D93="","-",+C123+1)</f>
        <v>2034</v>
      </c>
      <c r="D124" s="158">
        <f>IF(F123+SUM(E$99:E123)=D$92,F123,D$92-SUM(E$99:E123))</f>
        <v>5560808</v>
      </c>
      <c r="E124" s="165">
        <f>IF(+J96&lt;F123,J96,D124)</f>
        <v>249045</v>
      </c>
      <c r="F124" s="163">
        <f t="shared" si="24"/>
        <v>5311763</v>
      </c>
      <c r="G124" s="163">
        <f t="shared" si="25"/>
        <v>5436285.5</v>
      </c>
      <c r="H124" s="167">
        <f t="shared" si="26"/>
        <v>938651.52327375824</v>
      </c>
      <c r="I124" s="317">
        <f t="shared" si="27"/>
        <v>938651.52327375824</v>
      </c>
      <c r="J124" s="162">
        <f t="shared" si="17"/>
        <v>0</v>
      </c>
      <c r="K124" s="162"/>
      <c r="L124" s="335"/>
      <c r="M124" s="162">
        <f t="shared" si="19"/>
        <v>0</v>
      </c>
      <c r="N124" s="335"/>
      <c r="O124" s="162">
        <f t="shared" si="21"/>
        <v>0</v>
      </c>
      <c r="P124" s="162">
        <f t="shared" si="22"/>
        <v>0</v>
      </c>
    </row>
    <row r="125" spans="2:16">
      <c r="B125" s="9" t="str">
        <f t="shared" si="23"/>
        <v/>
      </c>
      <c r="C125" s="157">
        <f>IF(D93="","-",+C124+1)</f>
        <v>2035</v>
      </c>
      <c r="D125" s="158">
        <f>IF(F124+SUM(E$99:E124)=D$92,F124,D$92-SUM(E$99:E124))</f>
        <v>5311763</v>
      </c>
      <c r="E125" s="165">
        <f>IF(+J96&lt;F124,J96,D125)</f>
        <v>249045</v>
      </c>
      <c r="F125" s="163">
        <f t="shared" si="24"/>
        <v>5062718</v>
      </c>
      <c r="G125" s="163">
        <f t="shared" si="25"/>
        <v>5187240.5</v>
      </c>
      <c r="H125" s="167">
        <f t="shared" si="26"/>
        <v>907059.53705656761</v>
      </c>
      <c r="I125" s="317">
        <f t="shared" si="27"/>
        <v>907059.53705656761</v>
      </c>
      <c r="J125" s="162">
        <f t="shared" si="17"/>
        <v>0</v>
      </c>
      <c r="K125" s="162"/>
      <c r="L125" s="335"/>
      <c r="M125" s="162">
        <f t="shared" si="19"/>
        <v>0</v>
      </c>
      <c r="N125" s="335"/>
      <c r="O125" s="162">
        <f t="shared" si="21"/>
        <v>0</v>
      </c>
      <c r="P125" s="162">
        <f t="shared" si="22"/>
        <v>0</v>
      </c>
    </row>
    <row r="126" spans="2:16">
      <c r="B126" s="9" t="str">
        <f t="shared" si="23"/>
        <v/>
      </c>
      <c r="C126" s="157">
        <f>IF(D93="","-",+C125+1)</f>
        <v>2036</v>
      </c>
      <c r="D126" s="158">
        <f>IF(F125+SUM(E$99:E125)=D$92,F125,D$92-SUM(E$99:E125))</f>
        <v>5062718</v>
      </c>
      <c r="E126" s="165">
        <f>IF(+J96&lt;F125,J96,D126)</f>
        <v>249045</v>
      </c>
      <c r="F126" s="163">
        <f t="shared" si="24"/>
        <v>4813673</v>
      </c>
      <c r="G126" s="163">
        <f t="shared" si="25"/>
        <v>4938195.5</v>
      </c>
      <c r="H126" s="167">
        <f t="shared" si="26"/>
        <v>875467.55083937699</v>
      </c>
      <c r="I126" s="317">
        <f t="shared" si="27"/>
        <v>875467.55083937699</v>
      </c>
      <c r="J126" s="162">
        <f t="shared" si="17"/>
        <v>0</v>
      </c>
      <c r="K126" s="162"/>
      <c r="L126" s="335"/>
      <c r="M126" s="162">
        <f t="shared" si="19"/>
        <v>0</v>
      </c>
      <c r="N126" s="335"/>
      <c r="O126" s="162">
        <f t="shared" si="21"/>
        <v>0</v>
      </c>
      <c r="P126" s="162">
        <f t="shared" si="22"/>
        <v>0</v>
      </c>
    </row>
    <row r="127" spans="2:16">
      <c r="B127" s="9" t="str">
        <f t="shared" si="23"/>
        <v/>
      </c>
      <c r="C127" s="157">
        <f>IF(D93="","-",+C126+1)</f>
        <v>2037</v>
      </c>
      <c r="D127" s="158">
        <f>IF(F126+SUM(E$99:E126)=D$92,F126,D$92-SUM(E$99:E126))</f>
        <v>4813673</v>
      </c>
      <c r="E127" s="165">
        <f>IF(+J96&lt;F126,J96,D127)</f>
        <v>249045</v>
      </c>
      <c r="F127" s="163">
        <f t="shared" si="24"/>
        <v>4564628</v>
      </c>
      <c r="G127" s="163">
        <f t="shared" si="25"/>
        <v>4689150.5</v>
      </c>
      <c r="H127" s="167">
        <f t="shared" si="26"/>
        <v>843875.56462218636</v>
      </c>
      <c r="I127" s="317">
        <f t="shared" si="27"/>
        <v>843875.56462218636</v>
      </c>
      <c r="J127" s="162">
        <f t="shared" si="17"/>
        <v>0</v>
      </c>
      <c r="K127" s="162"/>
      <c r="L127" s="335"/>
      <c r="M127" s="162">
        <f t="shared" si="19"/>
        <v>0</v>
      </c>
      <c r="N127" s="335"/>
      <c r="O127" s="162">
        <f t="shared" si="21"/>
        <v>0</v>
      </c>
      <c r="P127" s="162">
        <f t="shared" si="22"/>
        <v>0</v>
      </c>
    </row>
    <row r="128" spans="2:16">
      <c r="B128" s="9" t="str">
        <f t="shared" si="23"/>
        <v/>
      </c>
      <c r="C128" s="157">
        <f>IF(D93="","-",+C127+1)</f>
        <v>2038</v>
      </c>
      <c r="D128" s="158">
        <f>IF(F127+SUM(E$99:E127)=D$92,F127,D$92-SUM(E$99:E127))</f>
        <v>4564628</v>
      </c>
      <c r="E128" s="165">
        <f>IF(+J96&lt;F127,J96,D128)</f>
        <v>249045</v>
      </c>
      <c r="F128" s="163">
        <f t="shared" si="24"/>
        <v>4315583</v>
      </c>
      <c r="G128" s="163">
        <f t="shared" si="25"/>
        <v>4440105.5</v>
      </c>
      <c r="H128" s="167">
        <f t="shared" si="26"/>
        <v>812283.57840499585</v>
      </c>
      <c r="I128" s="317">
        <f t="shared" si="27"/>
        <v>812283.57840499585</v>
      </c>
      <c r="J128" s="162">
        <f t="shared" si="17"/>
        <v>0</v>
      </c>
      <c r="K128" s="162"/>
      <c r="L128" s="335"/>
      <c r="M128" s="162">
        <f t="shared" si="19"/>
        <v>0</v>
      </c>
      <c r="N128" s="335"/>
      <c r="O128" s="162">
        <f t="shared" si="21"/>
        <v>0</v>
      </c>
      <c r="P128" s="162">
        <f t="shared" si="22"/>
        <v>0</v>
      </c>
    </row>
    <row r="129" spans="2:16">
      <c r="B129" s="9" t="str">
        <f t="shared" si="23"/>
        <v/>
      </c>
      <c r="C129" s="157">
        <f>IF(D93="","-",+C128+1)</f>
        <v>2039</v>
      </c>
      <c r="D129" s="158">
        <f>IF(F128+SUM(E$99:E128)=D$92,F128,D$92-SUM(E$99:E128))</f>
        <v>4315583</v>
      </c>
      <c r="E129" s="165">
        <f>IF(+J96&lt;F128,J96,D129)</f>
        <v>249045</v>
      </c>
      <c r="F129" s="163">
        <f t="shared" si="24"/>
        <v>4066538</v>
      </c>
      <c r="G129" s="163">
        <f t="shared" si="25"/>
        <v>4191060.5</v>
      </c>
      <c r="H129" s="167">
        <f t="shared" si="26"/>
        <v>780691.59218780522</v>
      </c>
      <c r="I129" s="317">
        <f t="shared" si="27"/>
        <v>780691.59218780522</v>
      </c>
      <c r="J129" s="162">
        <f t="shared" si="17"/>
        <v>0</v>
      </c>
      <c r="K129" s="162"/>
      <c r="L129" s="335"/>
      <c r="M129" s="162">
        <f t="shared" si="19"/>
        <v>0</v>
      </c>
      <c r="N129" s="335"/>
      <c r="O129" s="162">
        <f t="shared" si="21"/>
        <v>0</v>
      </c>
      <c r="P129" s="162">
        <f t="shared" si="22"/>
        <v>0</v>
      </c>
    </row>
    <row r="130" spans="2:16">
      <c r="B130" s="9" t="str">
        <f t="shared" si="23"/>
        <v/>
      </c>
      <c r="C130" s="157">
        <f>IF(D93="","-",+C129+1)</f>
        <v>2040</v>
      </c>
      <c r="D130" s="158">
        <f>IF(F129+SUM(E$99:E129)=D$92,F129,D$92-SUM(E$99:E129))</f>
        <v>4066538</v>
      </c>
      <c r="E130" s="165">
        <f>IF(+J96&lt;F129,J96,D130)</f>
        <v>249045</v>
      </c>
      <c r="F130" s="163">
        <f t="shared" si="24"/>
        <v>3817493</v>
      </c>
      <c r="G130" s="163">
        <f t="shared" si="25"/>
        <v>3942015.5</v>
      </c>
      <c r="H130" s="167">
        <f t="shared" si="26"/>
        <v>749099.60597061459</v>
      </c>
      <c r="I130" s="317">
        <f t="shared" si="27"/>
        <v>749099.60597061459</v>
      </c>
      <c r="J130" s="162">
        <f t="shared" si="17"/>
        <v>0</v>
      </c>
      <c r="K130" s="162"/>
      <c r="L130" s="335"/>
      <c r="M130" s="162">
        <f t="shared" si="19"/>
        <v>0</v>
      </c>
      <c r="N130" s="335"/>
      <c r="O130" s="162">
        <f t="shared" si="21"/>
        <v>0</v>
      </c>
      <c r="P130" s="162">
        <f t="shared" si="22"/>
        <v>0</v>
      </c>
    </row>
    <row r="131" spans="2:16">
      <c r="B131" s="9" t="str">
        <f t="shared" si="23"/>
        <v/>
      </c>
      <c r="C131" s="157">
        <f>IF(D93="","-",+C130+1)</f>
        <v>2041</v>
      </c>
      <c r="D131" s="158">
        <f>IF(F130+SUM(E$99:E130)=D$92,F130,D$92-SUM(E$99:E130))</f>
        <v>3817493</v>
      </c>
      <c r="E131" s="165">
        <f>IF(+J96&lt;F130,J96,D131)</f>
        <v>249045</v>
      </c>
      <c r="F131" s="163">
        <f t="shared" ref="F131:F154" si="28">+D131-E131</f>
        <v>3568448</v>
      </c>
      <c r="G131" s="163">
        <f t="shared" ref="G131:G154" si="29">+(F131+D131)/2</f>
        <v>3692970.5</v>
      </c>
      <c r="H131" s="167">
        <f t="shared" si="26"/>
        <v>717507.61975342396</v>
      </c>
      <c r="I131" s="317">
        <f t="shared" si="27"/>
        <v>717507.61975342396</v>
      </c>
      <c r="J131" s="162">
        <f t="shared" ref="J131:J154" si="30">+I131-H131</f>
        <v>0</v>
      </c>
      <c r="K131" s="162"/>
      <c r="L131" s="335"/>
      <c r="M131" s="162">
        <f t="shared" ref="M131:M154" si="31">IF(L131&lt;&gt;0,+H131-L131,0)</f>
        <v>0</v>
      </c>
      <c r="N131" s="335"/>
      <c r="O131" s="162">
        <f t="shared" ref="O131:O154" si="32">IF(N131&lt;&gt;0,+I131-N131,0)</f>
        <v>0</v>
      </c>
      <c r="P131" s="162">
        <f t="shared" ref="P131:P154" si="33">+O131-M131</f>
        <v>0</v>
      </c>
    </row>
    <row r="132" spans="2:16">
      <c r="B132" s="9" t="str">
        <f t="shared" si="23"/>
        <v/>
      </c>
      <c r="C132" s="157">
        <f>IF(D93="","-",+C131+1)</f>
        <v>2042</v>
      </c>
      <c r="D132" s="158">
        <f>IF(F131+SUM(E$99:E131)=D$92,F131,D$92-SUM(E$99:E131))</f>
        <v>3568448</v>
      </c>
      <c r="E132" s="165">
        <f>IF(+J96&lt;F131,J96,D132)</f>
        <v>249045</v>
      </c>
      <c r="F132" s="163">
        <f t="shared" si="28"/>
        <v>3319403</v>
      </c>
      <c r="G132" s="163">
        <f t="shared" si="29"/>
        <v>3443925.5</v>
      </c>
      <c r="H132" s="167">
        <f t="shared" si="26"/>
        <v>685915.63353623333</v>
      </c>
      <c r="I132" s="317">
        <f t="shared" si="27"/>
        <v>685915.63353623333</v>
      </c>
      <c r="J132" s="162">
        <f t="shared" si="30"/>
        <v>0</v>
      </c>
      <c r="K132" s="162"/>
      <c r="L132" s="335"/>
      <c r="M132" s="162">
        <f t="shared" si="31"/>
        <v>0</v>
      </c>
      <c r="N132" s="335"/>
      <c r="O132" s="162">
        <f t="shared" si="32"/>
        <v>0</v>
      </c>
      <c r="P132" s="162">
        <f t="shared" si="33"/>
        <v>0</v>
      </c>
    </row>
    <row r="133" spans="2:16">
      <c r="B133" s="9" t="str">
        <f t="shared" si="23"/>
        <v/>
      </c>
      <c r="C133" s="157">
        <f>IF(D93="","-",+C132+1)</f>
        <v>2043</v>
      </c>
      <c r="D133" s="158">
        <f>IF(F132+SUM(E$99:E132)=D$92,F132,D$92-SUM(E$99:E132))</f>
        <v>3319403</v>
      </c>
      <c r="E133" s="165">
        <f>IF(+J96&lt;F132,J96,D133)</f>
        <v>249045</v>
      </c>
      <c r="F133" s="163">
        <f t="shared" si="28"/>
        <v>3070358</v>
      </c>
      <c r="G133" s="163">
        <f t="shared" si="29"/>
        <v>3194880.5</v>
      </c>
      <c r="H133" s="167">
        <f t="shared" si="26"/>
        <v>654323.64731904282</v>
      </c>
      <c r="I133" s="317">
        <f t="shared" si="27"/>
        <v>654323.64731904282</v>
      </c>
      <c r="J133" s="162">
        <f t="shared" si="30"/>
        <v>0</v>
      </c>
      <c r="K133" s="162"/>
      <c r="L133" s="335"/>
      <c r="M133" s="162">
        <f t="shared" si="31"/>
        <v>0</v>
      </c>
      <c r="N133" s="335"/>
      <c r="O133" s="162">
        <f t="shared" si="32"/>
        <v>0</v>
      </c>
      <c r="P133" s="162">
        <f t="shared" si="33"/>
        <v>0</v>
      </c>
    </row>
    <row r="134" spans="2:16">
      <c r="B134" s="9" t="str">
        <f t="shared" si="23"/>
        <v/>
      </c>
      <c r="C134" s="157">
        <f>IF(D93="","-",+C133+1)</f>
        <v>2044</v>
      </c>
      <c r="D134" s="158">
        <f>IF(F133+SUM(E$99:E133)=D$92,F133,D$92-SUM(E$99:E133))</f>
        <v>3070358</v>
      </c>
      <c r="E134" s="165">
        <f>IF(+J96&lt;F133,J96,D134)</f>
        <v>249045</v>
      </c>
      <c r="F134" s="163">
        <f t="shared" si="28"/>
        <v>2821313</v>
      </c>
      <c r="G134" s="163">
        <f t="shared" si="29"/>
        <v>2945835.5</v>
      </c>
      <c r="H134" s="167">
        <f t="shared" si="26"/>
        <v>622731.66110185219</v>
      </c>
      <c r="I134" s="317">
        <f t="shared" si="27"/>
        <v>622731.66110185219</v>
      </c>
      <c r="J134" s="162">
        <f t="shared" si="30"/>
        <v>0</v>
      </c>
      <c r="K134" s="162"/>
      <c r="L134" s="335"/>
      <c r="M134" s="162">
        <f t="shared" si="31"/>
        <v>0</v>
      </c>
      <c r="N134" s="335"/>
      <c r="O134" s="162">
        <f t="shared" si="32"/>
        <v>0</v>
      </c>
      <c r="P134" s="162">
        <f t="shared" si="33"/>
        <v>0</v>
      </c>
    </row>
    <row r="135" spans="2:16">
      <c r="B135" s="9" t="str">
        <f t="shared" si="23"/>
        <v/>
      </c>
      <c r="C135" s="157">
        <f>IF(D93="","-",+C134+1)</f>
        <v>2045</v>
      </c>
      <c r="D135" s="158">
        <f>IF(F134+SUM(E$99:E134)=D$92,F134,D$92-SUM(E$99:E134))</f>
        <v>2821313</v>
      </c>
      <c r="E135" s="165">
        <f>IF(+J96&lt;F134,J96,D135)</f>
        <v>249045</v>
      </c>
      <c r="F135" s="163">
        <f t="shared" si="28"/>
        <v>2572268</v>
      </c>
      <c r="G135" s="163">
        <f t="shared" si="29"/>
        <v>2696790.5</v>
      </c>
      <c r="H135" s="167">
        <f t="shared" si="26"/>
        <v>591139.67488466157</v>
      </c>
      <c r="I135" s="317">
        <f t="shared" si="27"/>
        <v>591139.67488466157</v>
      </c>
      <c r="J135" s="162">
        <f t="shared" si="30"/>
        <v>0</v>
      </c>
      <c r="K135" s="162"/>
      <c r="L135" s="335"/>
      <c r="M135" s="162">
        <f t="shared" si="31"/>
        <v>0</v>
      </c>
      <c r="N135" s="335"/>
      <c r="O135" s="162">
        <f t="shared" si="32"/>
        <v>0</v>
      </c>
      <c r="P135" s="162">
        <f t="shared" si="33"/>
        <v>0</v>
      </c>
    </row>
    <row r="136" spans="2:16">
      <c r="B136" s="9" t="str">
        <f t="shared" si="23"/>
        <v/>
      </c>
      <c r="C136" s="157">
        <f>IF(D93="","-",+C135+1)</f>
        <v>2046</v>
      </c>
      <c r="D136" s="158">
        <f>IF(F135+SUM(E$99:E135)=D$92,F135,D$92-SUM(E$99:E135))</f>
        <v>2572268</v>
      </c>
      <c r="E136" s="165">
        <f>IF(+J96&lt;F135,J96,D136)</f>
        <v>249045</v>
      </c>
      <c r="F136" s="163">
        <f t="shared" si="28"/>
        <v>2323223</v>
      </c>
      <c r="G136" s="163">
        <f t="shared" si="29"/>
        <v>2447745.5</v>
      </c>
      <c r="H136" s="167">
        <f t="shared" si="26"/>
        <v>559547.68866747105</v>
      </c>
      <c r="I136" s="317">
        <f t="shared" si="27"/>
        <v>559547.68866747105</v>
      </c>
      <c r="J136" s="162">
        <f t="shared" si="30"/>
        <v>0</v>
      </c>
      <c r="K136" s="162"/>
      <c r="L136" s="335"/>
      <c r="M136" s="162">
        <f t="shared" si="31"/>
        <v>0</v>
      </c>
      <c r="N136" s="335"/>
      <c r="O136" s="162">
        <f t="shared" si="32"/>
        <v>0</v>
      </c>
      <c r="P136" s="162">
        <f t="shared" si="33"/>
        <v>0</v>
      </c>
    </row>
    <row r="137" spans="2:16">
      <c r="B137" s="9" t="str">
        <f t="shared" si="23"/>
        <v/>
      </c>
      <c r="C137" s="157">
        <f>IF(D93="","-",+C136+1)</f>
        <v>2047</v>
      </c>
      <c r="D137" s="158">
        <f>IF(F136+SUM(E$99:E136)=D$92,F136,D$92-SUM(E$99:E136))</f>
        <v>2323223</v>
      </c>
      <c r="E137" s="165">
        <f>IF(+J96&lt;F136,J96,D137)</f>
        <v>249045</v>
      </c>
      <c r="F137" s="163">
        <f t="shared" si="28"/>
        <v>2074178</v>
      </c>
      <c r="G137" s="163">
        <f t="shared" si="29"/>
        <v>2198700.5</v>
      </c>
      <c r="H137" s="167">
        <f t="shared" si="26"/>
        <v>527955.70245028031</v>
      </c>
      <c r="I137" s="317">
        <f t="shared" si="27"/>
        <v>527955.70245028031</v>
      </c>
      <c r="J137" s="162">
        <f t="shared" si="30"/>
        <v>0</v>
      </c>
      <c r="K137" s="162"/>
      <c r="L137" s="335"/>
      <c r="M137" s="162">
        <f t="shared" si="31"/>
        <v>0</v>
      </c>
      <c r="N137" s="335"/>
      <c r="O137" s="162">
        <f t="shared" si="32"/>
        <v>0</v>
      </c>
      <c r="P137" s="162">
        <f t="shared" si="33"/>
        <v>0</v>
      </c>
    </row>
    <row r="138" spans="2:16">
      <c r="B138" s="9" t="str">
        <f t="shared" si="23"/>
        <v/>
      </c>
      <c r="C138" s="157">
        <f>IF(D93="","-",+C137+1)</f>
        <v>2048</v>
      </c>
      <c r="D138" s="158">
        <f>IF(F137+SUM(E$99:E137)=D$92,F137,D$92-SUM(E$99:E137))</f>
        <v>2074178</v>
      </c>
      <c r="E138" s="165">
        <f>IF(+J96&lt;F137,J96,D138)</f>
        <v>249045</v>
      </c>
      <c r="F138" s="163">
        <f t="shared" si="28"/>
        <v>1825133</v>
      </c>
      <c r="G138" s="163">
        <f t="shared" si="29"/>
        <v>1949655.5</v>
      </c>
      <c r="H138" s="167">
        <f t="shared" si="26"/>
        <v>496363.7162330898</v>
      </c>
      <c r="I138" s="317">
        <f t="shared" si="27"/>
        <v>496363.7162330898</v>
      </c>
      <c r="J138" s="162">
        <f t="shared" si="30"/>
        <v>0</v>
      </c>
      <c r="K138" s="162"/>
      <c r="L138" s="335"/>
      <c r="M138" s="162">
        <f t="shared" si="31"/>
        <v>0</v>
      </c>
      <c r="N138" s="335"/>
      <c r="O138" s="162">
        <f t="shared" si="32"/>
        <v>0</v>
      </c>
      <c r="P138" s="162">
        <f t="shared" si="33"/>
        <v>0</v>
      </c>
    </row>
    <row r="139" spans="2:16">
      <c r="B139" s="9" t="str">
        <f t="shared" si="23"/>
        <v/>
      </c>
      <c r="C139" s="157">
        <f>IF(D93="","-",+C138+1)</f>
        <v>2049</v>
      </c>
      <c r="D139" s="158">
        <f>IF(F138+SUM(E$99:E138)=D$92,F138,D$92-SUM(E$99:E138))</f>
        <v>1825133</v>
      </c>
      <c r="E139" s="165">
        <f>IF(+J96&lt;F138,J96,D139)</f>
        <v>249045</v>
      </c>
      <c r="F139" s="163">
        <f t="shared" si="28"/>
        <v>1576088</v>
      </c>
      <c r="G139" s="163">
        <f t="shared" si="29"/>
        <v>1700610.5</v>
      </c>
      <c r="H139" s="167">
        <f t="shared" si="26"/>
        <v>464771.73001589917</v>
      </c>
      <c r="I139" s="317">
        <f t="shared" si="27"/>
        <v>464771.73001589917</v>
      </c>
      <c r="J139" s="162">
        <f t="shared" si="30"/>
        <v>0</v>
      </c>
      <c r="K139" s="162"/>
      <c r="L139" s="335"/>
      <c r="M139" s="162">
        <f t="shared" si="31"/>
        <v>0</v>
      </c>
      <c r="N139" s="335"/>
      <c r="O139" s="162">
        <f t="shared" si="32"/>
        <v>0</v>
      </c>
      <c r="P139" s="162">
        <f t="shared" si="33"/>
        <v>0</v>
      </c>
    </row>
    <row r="140" spans="2:16">
      <c r="B140" s="9" t="str">
        <f t="shared" si="23"/>
        <v/>
      </c>
      <c r="C140" s="157">
        <f>IF(D93="","-",+C139+1)</f>
        <v>2050</v>
      </c>
      <c r="D140" s="158">
        <f>IF(F139+SUM(E$99:E139)=D$92,F139,D$92-SUM(E$99:E139))</f>
        <v>1576088</v>
      </c>
      <c r="E140" s="165">
        <f>IF(+J96&lt;F139,J96,D140)</f>
        <v>249045</v>
      </c>
      <c r="F140" s="163">
        <f t="shared" si="28"/>
        <v>1327043</v>
      </c>
      <c r="G140" s="163">
        <f t="shared" si="29"/>
        <v>1451565.5</v>
      </c>
      <c r="H140" s="167">
        <f t="shared" si="26"/>
        <v>433179.7437987086</v>
      </c>
      <c r="I140" s="317">
        <f t="shared" si="27"/>
        <v>433179.7437987086</v>
      </c>
      <c r="J140" s="162">
        <f t="shared" si="30"/>
        <v>0</v>
      </c>
      <c r="K140" s="162"/>
      <c r="L140" s="335"/>
      <c r="M140" s="162">
        <f t="shared" si="31"/>
        <v>0</v>
      </c>
      <c r="N140" s="335"/>
      <c r="O140" s="162">
        <f t="shared" si="32"/>
        <v>0</v>
      </c>
      <c r="P140" s="162">
        <f t="shared" si="33"/>
        <v>0</v>
      </c>
    </row>
    <row r="141" spans="2:16">
      <c r="B141" s="9" t="str">
        <f t="shared" si="23"/>
        <v/>
      </c>
      <c r="C141" s="157">
        <f>IF(D93="","-",+C140+1)</f>
        <v>2051</v>
      </c>
      <c r="D141" s="158">
        <f>IF(F140+SUM(E$99:E140)=D$92,F140,D$92-SUM(E$99:E140))</f>
        <v>1327043</v>
      </c>
      <c r="E141" s="165">
        <f>IF(+J96&lt;F140,J96,D141)</f>
        <v>249045</v>
      </c>
      <c r="F141" s="163">
        <f t="shared" si="28"/>
        <v>1077998</v>
      </c>
      <c r="G141" s="163">
        <f t="shared" si="29"/>
        <v>1202520.5</v>
      </c>
      <c r="H141" s="167">
        <f t="shared" si="26"/>
        <v>401587.75758151803</v>
      </c>
      <c r="I141" s="317">
        <f t="shared" si="27"/>
        <v>401587.75758151803</v>
      </c>
      <c r="J141" s="162">
        <f t="shared" si="30"/>
        <v>0</v>
      </c>
      <c r="K141" s="162"/>
      <c r="L141" s="335"/>
      <c r="M141" s="162">
        <f t="shared" si="31"/>
        <v>0</v>
      </c>
      <c r="N141" s="335"/>
      <c r="O141" s="162">
        <f t="shared" si="32"/>
        <v>0</v>
      </c>
      <c r="P141" s="162">
        <f t="shared" si="33"/>
        <v>0</v>
      </c>
    </row>
    <row r="142" spans="2:16">
      <c r="B142" s="9" t="str">
        <f t="shared" si="23"/>
        <v/>
      </c>
      <c r="C142" s="157">
        <f>IF(D93="","-",+C141+1)</f>
        <v>2052</v>
      </c>
      <c r="D142" s="158">
        <f>IF(F141+SUM(E$99:E141)=D$92,F141,D$92-SUM(E$99:E141))</f>
        <v>1077998</v>
      </c>
      <c r="E142" s="165">
        <f>IF(+J96&lt;F141,J96,D142)</f>
        <v>249045</v>
      </c>
      <c r="F142" s="163">
        <f t="shared" si="28"/>
        <v>828953</v>
      </c>
      <c r="G142" s="163">
        <f t="shared" si="29"/>
        <v>953475.5</v>
      </c>
      <c r="H142" s="167">
        <f t="shared" si="26"/>
        <v>369995.7713643274</v>
      </c>
      <c r="I142" s="317">
        <f t="shared" si="27"/>
        <v>369995.7713643274</v>
      </c>
      <c r="J142" s="162">
        <f t="shared" si="30"/>
        <v>0</v>
      </c>
      <c r="K142" s="162"/>
      <c r="L142" s="335"/>
      <c r="M142" s="162">
        <f t="shared" si="31"/>
        <v>0</v>
      </c>
      <c r="N142" s="335"/>
      <c r="O142" s="162">
        <f t="shared" si="32"/>
        <v>0</v>
      </c>
      <c r="P142" s="162">
        <f t="shared" si="33"/>
        <v>0</v>
      </c>
    </row>
    <row r="143" spans="2:16">
      <c r="B143" s="9" t="str">
        <f t="shared" si="23"/>
        <v/>
      </c>
      <c r="C143" s="157">
        <f>IF(D93="","-",+C142+1)</f>
        <v>2053</v>
      </c>
      <c r="D143" s="158">
        <f>IF(F142+SUM(E$99:E142)=D$92,F142,D$92-SUM(E$99:E142))</f>
        <v>828953</v>
      </c>
      <c r="E143" s="165">
        <f>IF(+J96&lt;F142,J96,D143)</f>
        <v>249045</v>
      </c>
      <c r="F143" s="163">
        <f t="shared" si="28"/>
        <v>579908</v>
      </c>
      <c r="G143" s="163">
        <f t="shared" si="29"/>
        <v>704430.5</v>
      </c>
      <c r="H143" s="167">
        <f t="shared" si="26"/>
        <v>338403.78514713678</v>
      </c>
      <c r="I143" s="317">
        <f t="shared" si="27"/>
        <v>338403.78514713678</v>
      </c>
      <c r="J143" s="162">
        <f t="shared" si="30"/>
        <v>0</v>
      </c>
      <c r="K143" s="162"/>
      <c r="L143" s="335"/>
      <c r="M143" s="162">
        <f t="shared" si="31"/>
        <v>0</v>
      </c>
      <c r="N143" s="335"/>
      <c r="O143" s="162">
        <f t="shared" si="32"/>
        <v>0</v>
      </c>
      <c r="P143" s="162">
        <f t="shared" si="33"/>
        <v>0</v>
      </c>
    </row>
    <row r="144" spans="2:16">
      <c r="B144" s="9" t="str">
        <f t="shared" si="23"/>
        <v/>
      </c>
      <c r="C144" s="157">
        <f>IF(D93="","-",+C143+1)</f>
        <v>2054</v>
      </c>
      <c r="D144" s="158">
        <f>IF(F143+SUM(E$99:E143)=D$92,F143,D$92-SUM(E$99:E143))</f>
        <v>579908</v>
      </c>
      <c r="E144" s="165">
        <f>IF(+J96&lt;F143,J96,D144)</f>
        <v>249045</v>
      </c>
      <c r="F144" s="163">
        <f t="shared" si="28"/>
        <v>330863</v>
      </c>
      <c r="G144" s="163">
        <f t="shared" si="29"/>
        <v>455385.5</v>
      </c>
      <c r="H144" s="167">
        <f t="shared" si="26"/>
        <v>306811.79892994621</v>
      </c>
      <c r="I144" s="317">
        <f t="shared" si="27"/>
        <v>306811.79892994621</v>
      </c>
      <c r="J144" s="162">
        <f t="shared" si="30"/>
        <v>0</v>
      </c>
      <c r="K144" s="162"/>
      <c r="L144" s="335"/>
      <c r="M144" s="162">
        <f t="shared" si="31"/>
        <v>0</v>
      </c>
      <c r="N144" s="335"/>
      <c r="O144" s="162">
        <f t="shared" si="32"/>
        <v>0</v>
      </c>
      <c r="P144" s="162">
        <f t="shared" si="33"/>
        <v>0</v>
      </c>
    </row>
    <row r="145" spans="2:16">
      <c r="B145" s="9" t="str">
        <f t="shared" si="23"/>
        <v/>
      </c>
      <c r="C145" s="157">
        <f>IF(D93="","-",+C144+1)</f>
        <v>2055</v>
      </c>
      <c r="D145" s="158">
        <f>IF(F144+SUM(E$99:E144)=D$92,F144,D$92-SUM(E$99:E144))</f>
        <v>330863</v>
      </c>
      <c r="E145" s="165">
        <f>IF(+J96&lt;F144,J96,D145)</f>
        <v>249045</v>
      </c>
      <c r="F145" s="163">
        <f t="shared" si="28"/>
        <v>81818</v>
      </c>
      <c r="G145" s="163">
        <f t="shared" si="29"/>
        <v>206340.5</v>
      </c>
      <c r="H145" s="167">
        <f t="shared" si="26"/>
        <v>275219.81271275558</v>
      </c>
      <c r="I145" s="317">
        <f t="shared" si="27"/>
        <v>275219.81271275558</v>
      </c>
      <c r="J145" s="162">
        <f t="shared" si="30"/>
        <v>0</v>
      </c>
      <c r="K145" s="162"/>
      <c r="L145" s="335"/>
      <c r="M145" s="162">
        <f t="shared" si="31"/>
        <v>0</v>
      </c>
      <c r="N145" s="335"/>
      <c r="O145" s="162">
        <f t="shared" si="32"/>
        <v>0</v>
      </c>
      <c r="P145" s="162">
        <f t="shared" si="33"/>
        <v>0</v>
      </c>
    </row>
    <row r="146" spans="2:16">
      <c r="B146" s="9" t="str">
        <f t="shared" si="23"/>
        <v/>
      </c>
      <c r="C146" s="157">
        <f>IF(D93="","-",+C145+1)</f>
        <v>2056</v>
      </c>
      <c r="D146" s="158">
        <f>IF(F145+SUM(E$99:E145)=D$92,F145,D$92-SUM(E$99:E145))</f>
        <v>81818</v>
      </c>
      <c r="E146" s="165">
        <f>IF(+J96&lt;F145,J96,D146)</f>
        <v>81818</v>
      </c>
      <c r="F146" s="163">
        <f t="shared" si="28"/>
        <v>0</v>
      </c>
      <c r="G146" s="163">
        <f t="shared" si="29"/>
        <v>40909</v>
      </c>
      <c r="H146" s="167">
        <f t="shared" si="26"/>
        <v>87007.409802080147</v>
      </c>
      <c r="I146" s="317">
        <f t="shared" si="27"/>
        <v>87007.409802080147</v>
      </c>
      <c r="J146" s="162">
        <f t="shared" si="30"/>
        <v>0</v>
      </c>
      <c r="K146" s="162"/>
      <c r="L146" s="335"/>
      <c r="M146" s="162">
        <f t="shared" si="31"/>
        <v>0</v>
      </c>
      <c r="N146" s="335"/>
      <c r="O146" s="162">
        <f t="shared" si="32"/>
        <v>0</v>
      </c>
      <c r="P146" s="162">
        <f t="shared" si="33"/>
        <v>0</v>
      </c>
    </row>
    <row r="147" spans="2:16">
      <c r="B147" s="9" t="str">
        <f t="shared" si="23"/>
        <v/>
      </c>
      <c r="C147" s="157">
        <f>IF(D93="","-",+C146+1)</f>
        <v>2057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8"/>
        <v>0</v>
      </c>
      <c r="G147" s="163">
        <f t="shared" si="29"/>
        <v>0</v>
      </c>
      <c r="H147" s="167">
        <f t="shared" si="26"/>
        <v>0</v>
      </c>
      <c r="I147" s="317">
        <f t="shared" si="27"/>
        <v>0</v>
      </c>
      <c r="J147" s="162">
        <f t="shared" si="30"/>
        <v>0</v>
      </c>
      <c r="K147" s="162"/>
      <c r="L147" s="335"/>
      <c r="M147" s="162">
        <f t="shared" si="31"/>
        <v>0</v>
      </c>
      <c r="N147" s="335"/>
      <c r="O147" s="162">
        <f t="shared" si="32"/>
        <v>0</v>
      </c>
      <c r="P147" s="162">
        <f t="shared" si="33"/>
        <v>0</v>
      </c>
    </row>
    <row r="148" spans="2:16">
      <c r="B148" s="9" t="str">
        <f t="shared" si="23"/>
        <v/>
      </c>
      <c r="C148" s="157">
        <f>IF(D93="","-",+C147+1)</f>
        <v>2058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8"/>
        <v>0</v>
      </c>
      <c r="G148" s="163">
        <f t="shared" si="29"/>
        <v>0</v>
      </c>
      <c r="H148" s="167">
        <f t="shared" si="26"/>
        <v>0</v>
      </c>
      <c r="I148" s="317">
        <f t="shared" si="27"/>
        <v>0</v>
      </c>
      <c r="J148" s="162">
        <f t="shared" si="30"/>
        <v>0</v>
      </c>
      <c r="K148" s="162"/>
      <c r="L148" s="335"/>
      <c r="M148" s="162">
        <f t="shared" si="31"/>
        <v>0</v>
      </c>
      <c r="N148" s="335"/>
      <c r="O148" s="162">
        <f t="shared" si="32"/>
        <v>0</v>
      </c>
      <c r="P148" s="162">
        <f t="shared" si="33"/>
        <v>0</v>
      </c>
    </row>
    <row r="149" spans="2:16">
      <c r="B149" s="9" t="str">
        <f t="shared" si="23"/>
        <v/>
      </c>
      <c r="C149" s="157">
        <f>IF(D93="","-",+C148+1)</f>
        <v>2059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8"/>
        <v>0</v>
      </c>
      <c r="G149" s="163">
        <f t="shared" si="29"/>
        <v>0</v>
      </c>
      <c r="H149" s="167">
        <f t="shared" si="26"/>
        <v>0</v>
      </c>
      <c r="I149" s="317">
        <f t="shared" si="27"/>
        <v>0</v>
      </c>
      <c r="J149" s="162">
        <f t="shared" si="30"/>
        <v>0</v>
      </c>
      <c r="K149" s="162"/>
      <c r="L149" s="335"/>
      <c r="M149" s="162">
        <f t="shared" si="31"/>
        <v>0</v>
      </c>
      <c r="N149" s="335"/>
      <c r="O149" s="162">
        <f t="shared" si="32"/>
        <v>0</v>
      </c>
      <c r="P149" s="162">
        <f t="shared" si="33"/>
        <v>0</v>
      </c>
    </row>
    <row r="150" spans="2:16">
      <c r="B150" s="9" t="str">
        <f t="shared" si="23"/>
        <v/>
      </c>
      <c r="C150" s="157">
        <f>IF(D93="","-",+C149+1)</f>
        <v>2060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8"/>
        <v>0</v>
      </c>
      <c r="G150" s="163">
        <f t="shared" si="29"/>
        <v>0</v>
      </c>
      <c r="H150" s="167">
        <f t="shared" si="26"/>
        <v>0</v>
      </c>
      <c r="I150" s="317">
        <f t="shared" si="27"/>
        <v>0</v>
      </c>
      <c r="J150" s="162">
        <f t="shared" si="30"/>
        <v>0</v>
      </c>
      <c r="K150" s="162"/>
      <c r="L150" s="335"/>
      <c r="M150" s="162">
        <f t="shared" si="31"/>
        <v>0</v>
      </c>
      <c r="N150" s="335"/>
      <c r="O150" s="162">
        <f t="shared" si="32"/>
        <v>0</v>
      </c>
      <c r="P150" s="162">
        <f t="shared" si="33"/>
        <v>0</v>
      </c>
    </row>
    <row r="151" spans="2:16">
      <c r="B151" s="9" t="str">
        <f t="shared" si="23"/>
        <v/>
      </c>
      <c r="C151" s="157">
        <f>IF(D93="","-",+C150+1)</f>
        <v>2061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8"/>
        <v>0</v>
      </c>
      <c r="G151" s="163">
        <f t="shared" si="29"/>
        <v>0</v>
      </c>
      <c r="H151" s="167">
        <f t="shared" si="26"/>
        <v>0</v>
      </c>
      <c r="I151" s="317">
        <f t="shared" si="27"/>
        <v>0</v>
      </c>
      <c r="J151" s="162">
        <f t="shared" si="30"/>
        <v>0</v>
      </c>
      <c r="K151" s="162"/>
      <c r="L151" s="335"/>
      <c r="M151" s="162">
        <f t="shared" si="31"/>
        <v>0</v>
      </c>
      <c r="N151" s="335"/>
      <c r="O151" s="162">
        <f t="shared" si="32"/>
        <v>0</v>
      </c>
      <c r="P151" s="162">
        <f t="shared" si="33"/>
        <v>0</v>
      </c>
    </row>
    <row r="152" spans="2:16">
      <c r="B152" s="9" t="str">
        <f t="shared" si="23"/>
        <v/>
      </c>
      <c r="C152" s="157">
        <f>IF(D93="","-",+C151+1)</f>
        <v>2062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8"/>
        <v>0</v>
      </c>
      <c r="G152" s="163">
        <f t="shared" si="29"/>
        <v>0</v>
      </c>
      <c r="H152" s="167">
        <f t="shared" si="26"/>
        <v>0</v>
      </c>
      <c r="I152" s="317">
        <f t="shared" si="27"/>
        <v>0</v>
      </c>
      <c r="J152" s="162">
        <f t="shared" si="30"/>
        <v>0</v>
      </c>
      <c r="K152" s="162"/>
      <c r="L152" s="335"/>
      <c r="M152" s="162">
        <f t="shared" si="31"/>
        <v>0</v>
      </c>
      <c r="N152" s="335"/>
      <c r="O152" s="162">
        <f t="shared" si="32"/>
        <v>0</v>
      </c>
      <c r="P152" s="162">
        <f t="shared" si="33"/>
        <v>0</v>
      </c>
    </row>
    <row r="153" spans="2:16">
      <c r="B153" s="9" t="str">
        <f t="shared" si="23"/>
        <v/>
      </c>
      <c r="C153" s="157">
        <f>IF(D93="","-",+C152+1)</f>
        <v>2063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8"/>
        <v>0</v>
      </c>
      <c r="G153" s="163">
        <f t="shared" si="29"/>
        <v>0</v>
      </c>
      <c r="H153" s="167">
        <f t="shared" si="26"/>
        <v>0</v>
      </c>
      <c r="I153" s="317">
        <f t="shared" si="27"/>
        <v>0</v>
      </c>
      <c r="J153" s="162">
        <f t="shared" si="30"/>
        <v>0</v>
      </c>
      <c r="K153" s="162"/>
      <c r="L153" s="335"/>
      <c r="M153" s="162">
        <f t="shared" si="31"/>
        <v>0</v>
      </c>
      <c r="N153" s="335"/>
      <c r="O153" s="162">
        <f t="shared" si="32"/>
        <v>0</v>
      </c>
      <c r="P153" s="162">
        <f t="shared" si="33"/>
        <v>0</v>
      </c>
    </row>
    <row r="154" spans="2:16" ht="13.5" thickBot="1">
      <c r="B154" s="9" t="str">
        <f t="shared" si="23"/>
        <v/>
      </c>
      <c r="C154" s="168">
        <f>IF(D93="","-",+C153+1)</f>
        <v>2064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8"/>
        <v>0</v>
      </c>
      <c r="G154" s="169">
        <f t="shared" si="29"/>
        <v>0</v>
      </c>
      <c r="H154" s="171">
        <f t="shared" si="26"/>
        <v>0</v>
      </c>
      <c r="I154" s="318">
        <f t="shared" si="27"/>
        <v>0</v>
      </c>
      <c r="J154" s="173">
        <f t="shared" si="30"/>
        <v>0</v>
      </c>
      <c r="K154" s="162"/>
      <c r="L154" s="336"/>
      <c r="M154" s="173">
        <f t="shared" si="31"/>
        <v>0</v>
      </c>
      <c r="N154" s="336"/>
      <c r="O154" s="173">
        <f t="shared" si="32"/>
        <v>0</v>
      </c>
      <c r="P154" s="173">
        <f t="shared" si="33"/>
        <v>0</v>
      </c>
    </row>
    <row r="155" spans="2:16">
      <c r="C155" s="158" t="s">
        <v>72</v>
      </c>
      <c r="D155" s="115"/>
      <c r="E155" s="115">
        <f>SUM(E99:E154)</f>
        <v>11456065</v>
      </c>
      <c r="F155" s="115"/>
      <c r="G155" s="115"/>
      <c r="H155" s="115">
        <f>SUM(H99:H154)</f>
        <v>47566552.10145241</v>
      </c>
      <c r="I155" s="115">
        <f>SUM(I99:I154)</f>
        <v>47566552.10145241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95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102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73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74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54" priority="1" stopIfTrue="1" operator="equal">
      <formula>$I$10</formula>
    </cfRule>
  </conditionalFormatting>
  <conditionalFormatting sqref="C99:C154">
    <cfRule type="cellIs" dxfId="53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/>
  <dimension ref="A1:P162"/>
  <sheetViews>
    <sheetView view="pageBreakPreview" zoomScale="75" zoomScaleNormal="100" zoomScaleSheetLayoutView="5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4 of 27</v>
      </c>
    </row>
    <row r="2" spans="1:16" ht="20.25">
      <c r="A2" s="112"/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 t="s">
        <v>241</v>
      </c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VLOOKUP(I10,C17:I72,5)-O5</f>
        <v>1679393.8300905449</v>
      </c>
      <c r="O5" s="419">
        <f>1307.4*12</f>
        <v>15688.800000000001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VLOOKUP(I10,C17:I72,6)-O5</f>
        <v>1679393.8300905449</v>
      </c>
      <c r="O6" s="1"/>
      <c r="P6" s="1"/>
    </row>
    <row r="7" spans="1:16" ht="13.5" thickBot="1">
      <c r="C7" s="127" t="s">
        <v>41</v>
      </c>
      <c r="D7" s="343" t="s">
        <v>199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77</v>
      </c>
      <c r="E9" s="428" t="s">
        <v>304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14615636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2008</v>
      </c>
      <c r="E11" s="141" t="s">
        <v>49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7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365390.9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359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2008</v>
      </c>
      <c r="D17" s="369">
        <v>2264444</v>
      </c>
      <c r="E17" s="367">
        <v>21774</v>
      </c>
      <c r="F17" s="366">
        <v>2242670</v>
      </c>
      <c r="G17" s="367">
        <v>215833</v>
      </c>
      <c r="H17" s="367">
        <v>215833</v>
      </c>
      <c r="I17" s="160">
        <f t="shared" ref="I17:I48" si="0">H17-G17</f>
        <v>0</v>
      </c>
      <c r="J17" s="175"/>
      <c r="K17" s="338">
        <v>215833</v>
      </c>
      <c r="L17" s="358">
        <f t="shared" ref="L17:L48" si="1">IF(K17&lt;&gt;0,+G17-K17,0)</f>
        <v>0</v>
      </c>
      <c r="M17" s="337">
        <v>215833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2009</v>
      </c>
      <c r="D18" s="366">
        <v>14429811</v>
      </c>
      <c r="E18" s="368">
        <v>274418</v>
      </c>
      <c r="F18" s="366">
        <v>14155393</v>
      </c>
      <c r="G18" s="368">
        <v>2443110</v>
      </c>
      <c r="H18" s="368">
        <v>2443110</v>
      </c>
      <c r="I18" s="160">
        <f t="shared" si="0"/>
        <v>0</v>
      </c>
      <c r="J18" s="160"/>
      <c r="K18" s="338">
        <v>2443110</v>
      </c>
      <c r="L18" s="162">
        <f t="shared" si="1"/>
        <v>0</v>
      </c>
      <c r="M18" s="338">
        <v>2443110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2010</v>
      </c>
      <c r="D19" s="371">
        <v>14390719</v>
      </c>
      <c r="E19" s="368">
        <v>262266.26785714284</v>
      </c>
      <c r="F19" s="371">
        <v>14128452.732142856</v>
      </c>
      <c r="G19" s="368">
        <v>2300952.2678571427</v>
      </c>
      <c r="H19" s="370">
        <v>2300952.2678571427</v>
      </c>
      <c r="I19" s="160">
        <f t="shared" si="0"/>
        <v>0</v>
      </c>
      <c r="J19" s="160"/>
      <c r="K19" s="338">
        <f t="shared" ref="K19:K24" si="4">G19</f>
        <v>2300952.2678571427</v>
      </c>
      <c r="L19" s="272">
        <f t="shared" si="1"/>
        <v>0</v>
      </c>
      <c r="M19" s="338">
        <f t="shared" ref="M19:M24" si="5">H19</f>
        <v>2300952.2678571427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>IU</v>
      </c>
      <c r="C20" s="157">
        <f>IF(D11="","-",+C19+1)</f>
        <v>2011</v>
      </c>
      <c r="D20" s="371">
        <v>14057177.732142856</v>
      </c>
      <c r="E20" s="368">
        <v>286581.09803921566</v>
      </c>
      <c r="F20" s="371">
        <v>13770596.634103641</v>
      </c>
      <c r="G20" s="368">
        <v>2442276.0980392154</v>
      </c>
      <c r="H20" s="370">
        <v>2442276.0980392154</v>
      </c>
      <c r="I20" s="160">
        <f t="shared" si="0"/>
        <v>0</v>
      </c>
      <c r="J20" s="160"/>
      <c r="K20" s="338">
        <f t="shared" si="4"/>
        <v>2442276.0980392154</v>
      </c>
      <c r="L20" s="272">
        <f t="shared" si="1"/>
        <v>0</v>
      </c>
      <c r="M20" s="338">
        <f t="shared" si="5"/>
        <v>2442276.0980392154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IF(D12="","-",+C20+1)</f>
        <v>2012</v>
      </c>
      <c r="D21" s="371">
        <v>13770596.634103641</v>
      </c>
      <c r="E21" s="368">
        <v>281069.92307692306</v>
      </c>
      <c r="F21" s="371">
        <v>13489526.711026717</v>
      </c>
      <c r="G21" s="368">
        <v>2158902.923076923</v>
      </c>
      <c r="H21" s="370">
        <v>2158902.923076923</v>
      </c>
      <c r="I21" s="160">
        <f t="shared" si="0"/>
        <v>0</v>
      </c>
      <c r="J21" s="160"/>
      <c r="K21" s="338">
        <f t="shared" si="4"/>
        <v>2158902.923076923</v>
      </c>
      <c r="L21" s="272">
        <f t="shared" si="1"/>
        <v>0</v>
      </c>
      <c r="M21" s="338">
        <f t="shared" si="5"/>
        <v>2158902.923076923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6"/>
        <v/>
      </c>
      <c r="C22" s="157">
        <f>IF(D11="","-",+C21+1)</f>
        <v>2013</v>
      </c>
      <c r="D22" s="371">
        <v>13489526.711026717</v>
      </c>
      <c r="E22" s="368">
        <v>281069.92307692306</v>
      </c>
      <c r="F22" s="371">
        <v>13208456.787949793</v>
      </c>
      <c r="G22" s="368">
        <v>2167326.923076923</v>
      </c>
      <c r="H22" s="370">
        <v>2167326.923076923</v>
      </c>
      <c r="I22" s="160">
        <v>0</v>
      </c>
      <c r="J22" s="160"/>
      <c r="K22" s="338">
        <f t="shared" si="4"/>
        <v>2167326.923076923</v>
      </c>
      <c r="L22" s="272">
        <f t="shared" ref="L22:L27" si="7">IF(K22&lt;&gt;0,+G22-K22,0)</f>
        <v>0</v>
      </c>
      <c r="M22" s="338">
        <f t="shared" si="5"/>
        <v>2167326.923076923</v>
      </c>
      <c r="N22" s="162">
        <f t="shared" ref="N22:N27" si="8">IF(M22&lt;&gt;0,+H22-M22,0)</f>
        <v>0</v>
      </c>
      <c r="O22" s="162">
        <f t="shared" ref="O22:O27" si="9">+N22-L22</f>
        <v>0</v>
      </c>
      <c r="P22" s="4"/>
    </row>
    <row r="23" spans="2:16">
      <c r="B23" s="9" t="str">
        <f t="shared" si="6"/>
        <v/>
      </c>
      <c r="C23" s="157">
        <f>IF(D11="","-",+C22+1)</f>
        <v>2014</v>
      </c>
      <c r="D23" s="371">
        <v>13208456.787949793</v>
      </c>
      <c r="E23" s="368">
        <v>281069.92307692306</v>
      </c>
      <c r="F23" s="371">
        <v>12927386.864872869</v>
      </c>
      <c r="G23" s="368">
        <v>2060637.923076923</v>
      </c>
      <c r="H23" s="370">
        <v>2060637.923076923</v>
      </c>
      <c r="I23" s="160">
        <v>0</v>
      </c>
      <c r="J23" s="160"/>
      <c r="K23" s="338">
        <f t="shared" si="4"/>
        <v>2060637.923076923</v>
      </c>
      <c r="L23" s="272">
        <f t="shared" si="7"/>
        <v>0</v>
      </c>
      <c r="M23" s="338">
        <f t="shared" si="5"/>
        <v>2060637.923076923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2015</v>
      </c>
      <c r="D24" s="371">
        <v>12927386.864872869</v>
      </c>
      <c r="E24" s="368">
        <v>281069.92307692306</v>
      </c>
      <c r="F24" s="371">
        <v>12646316.941795945</v>
      </c>
      <c r="G24" s="368">
        <v>2024638.923076923</v>
      </c>
      <c r="H24" s="370">
        <v>2024638.923076923</v>
      </c>
      <c r="I24" s="160">
        <v>0</v>
      </c>
      <c r="J24" s="160"/>
      <c r="K24" s="338">
        <f t="shared" si="4"/>
        <v>2024638.923076923</v>
      </c>
      <c r="L24" s="272">
        <f t="shared" si="7"/>
        <v>0</v>
      </c>
      <c r="M24" s="338">
        <f t="shared" si="5"/>
        <v>2024638.923076923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2016</v>
      </c>
      <c r="D25" s="371">
        <v>12646316.941795945</v>
      </c>
      <c r="E25" s="368">
        <v>281069.92307692306</v>
      </c>
      <c r="F25" s="371">
        <v>12365247.018719021</v>
      </c>
      <c r="G25" s="368">
        <v>1902890.923076923</v>
      </c>
      <c r="H25" s="370">
        <v>1902890.923076923</v>
      </c>
      <c r="I25" s="160">
        <f t="shared" si="0"/>
        <v>0</v>
      </c>
      <c r="J25" s="160"/>
      <c r="K25" s="338">
        <f>G25</f>
        <v>1902890.923076923</v>
      </c>
      <c r="L25" s="272">
        <f t="shared" si="7"/>
        <v>0</v>
      </c>
      <c r="M25" s="338">
        <f>H25</f>
        <v>1902890.923076923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2017</v>
      </c>
      <c r="D26" s="371">
        <v>12365247.018719021</v>
      </c>
      <c r="E26" s="368">
        <v>317731.21739130432</v>
      </c>
      <c r="F26" s="371">
        <v>12047515.801327717</v>
      </c>
      <c r="G26" s="368">
        <v>1850906.2173913042</v>
      </c>
      <c r="H26" s="370">
        <v>1850906.2173913042</v>
      </c>
      <c r="I26" s="160">
        <v>0</v>
      </c>
      <c r="J26" s="160"/>
      <c r="K26" s="338">
        <f>G26</f>
        <v>1850906.2173913042</v>
      </c>
      <c r="L26" s="272">
        <f t="shared" si="7"/>
        <v>0</v>
      </c>
      <c r="M26" s="338">
        <f>H26</f>
        <v>1850906.2173913042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2018</v>
      </c>
      <c r="D27" s="371">
        <v>12047515.801327717</v>
      </c>
      <c r="E27" s="368">
        <v>324791.91111111111</v>
      </c>
      <c r="F27" s="371">
        <v>11722723.890216606</v>
      </c>
      <c r="G27" s="368">
        <v>1748141.2740256879</v>
      </c>
      <c r="H27" s="370">
        <v>1748141.2740256879</v>
      </c>
      <c r="I27" s="160">
        <f t="shared" si="0"/>
        <v>0</v>
      </c>
      <c r="J27" s="160"/>
      <c r="K27" s="338">
        <f>G27</f>
        <v>1748141.2740256879</v>
      </c>
      <c r="L27" s="272">
        <f t="shared" si="7"/>
        <v>0</v>
      </c>
      <c r="M27" s="338">
        <f>H27</f>
        <v>1748141.2740256879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6"/>
        <v/>
      </c>
      <c r="C28" s="157">
        <f>IF(D11="","-",+C27+1)</f>
        <v>2019</v>
      </c>
      <c r="D28" s="163">
        <f>IF(F27+SUM(E$17:E27)=D$10,F27,D$10-SUM(E$17:E27))</f>
        <v>11722723.890216606</v>
      </c>
      <c r="E28" s="164">
        <f>IF(+I14&lt;F27,I14,D28)</f>
        <v>365390.9</v>
      </c>
      <c r="F28" s="163">
        <f t="shared" ref="F28:F72" si="10">+D28-E28</f>
        <v>11357332.990216605</v>
      </c>
      <c r="G28" s="165">
        <f t="shared" ref="G28:G72" si="11">(D28+F28)/2*I$12+E28</f>
        <v>1695082.6300905449</v>
      </c>
      <c r="H28" s="147">
        <f t="shared" ref="H28:H72" si="12">+(D28+F28)/2*I$13+E28</f>
        <v>1695082.6300905449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2020</v>
      </c>
      <c r="D29" s="163">
        <f>IF(F28+SUM(E$17:E28)=D$10,F28,D$10-SUM(E$17:E28))</f>
        <v>11357332.990216605</v>
      </c>
      <c r="E29" s="164">
        <f>IF(+I14&lt;F28,I14,D29)</f>
        <v>365390.9</v>
      </c>
      <c r="F29" s="163">
        <f t="shared" si="10"/>
        <v>10991942.090216605</v>
      </c>
      <c r="G29" s="165">
        <f t="shared" si="11"/>
        <v>1652980.7184273861</v>
      </c>
      <c r="H29" s="147">
        <f t="shared" si="12"/>
        <v>1652980.7184273861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2021</v>
      </c>
      <c r="D30" s="163">
        <f>IF(F29+SUM(E$17:E29)=D$10,F29,D$10-SUM(E$17:E29))</f>
        <v>10991942.090216605</v>
      </c>
      <c r="E30" s="164">
        <f>IF(+I14&lt;F29,I14,D30)</f>
        <v>365390.9</v>
      </c>
      <c r="F30" s="163">
        <f t="shared" si="10"/>
        <v>10626551.190216605</v>
      </c>
      <c r="G30" s="165">
        <f t="shared" si="11"/>
        <v>1610878.8067642269</v>
      </c>
      <c r="H30" s="147">
        <f t="shared" si="12"/>
        <v>1610878.8067642269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2022</v>
      </c>
      <c r="D31" s="163">
        <f>IF(F30+SUM(E$17:E30)=D$10,F30,D$10-SUM(E$17:E30))</f>
        <v>10626551.190216605</v>
      </c>
      <c r="E31" s="164">
        <f>IF(+I14&lt;F30,I14,D31)</f>
        <v>365390.9</v>
      </c>
      <c r="F31" s="163">
        <f t="shared" si="10"/>
        <v>10261160.290216604</v>
      </c>
      <c r="G31" s="165">
        <f t="shared" si="11"/>
        <v>1568776.8951010681</v>
      </c>
      <c r="H31" s="147">
        <f t="shared" si="12"/>
        <v>1568776.8951010681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2023</v>
      </c>
      <c r="D32" s="163">
        <f>IF(F31+SUM(E$17:E31)=D$10,F31,D$10-SUM(E$17:E31))</f>
        <v>10261160.290216604</v>
      </c>
      <c r="E32" s="164">
        <f>IF(+I14&lt;F31,I14,D32)</f>
        <v>365390.9</v>
      </c>
      <c r="F32" s="163">
        <f t="shared" si="10"/>
        <v>9895769.3902166039</v>
      </c>
      <c r="G32" s="165">
        <f t="shared" si="11"/>
        <v>1526674.9834379088</v>
      </c>
      <c r="H32" s="147">
        <f t="shared" si="12"/>
        <v>1526674.9834379088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2024</v>
      </c>
      <c r="D33" s="163">
        <f>IF(F32+SUM(E$17:E32)=D$10,F32,D$10-SUM(E$17:E32))</f>
        <v>9895769.3902166039</v>
      </c>
      <c r="E33" s="164">
        <f>IF(+I14&lt;F32,I14,D33)</f>
        <v>365390.9</v>
      </c>
      <c r="F33" s="163">
        <f t="shared" si="10"/>
        <v>9530378.4902166035</v>
      </c>
      <c r="G33" s="165">
        <f t="shared" si="11"/>
        <v>1484573.07177475</v>
      </c>
      <c r="H33" s="147">
        <f t="shared" si="12"/>
        <v>1484573.07177475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2025</v>
      </c>
      <c r="D34" s="163">
        <f>IF(F33+SUM(E$17:E33)=D$10,F33,D$10-SUM(E$17:E33))</f>
        <v>9530378.4902166035</v>
      </c>
      <c r="E34" s="164">
        <f>IF(+I14&lt;F33,I14,D34)</f>
        <v>365390.9</v>
      </c>
      <c r="F34" s="163">
        <f t="shared" si="10"/>
        <v>9164987.5902166031</v>
      </c>
      <c r="G34" s="165">
        <f t="shared" si="11"/>
        <v>1442471.1601115912</v>
      </c>
      <c r="H34" s="147">
        <f t="shared" si="12"/>
        <v>1442471.1601115912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2026</v>
      </c>
      <c r="D35" s="163">
        <f>IF(F34+SUM(E$17:E34)=D$10,F34,D$10-SUM(E$17:E34))</f>
        <v>9164987.5902166031</v>
      </c>
      <c r="E35" s="164">
        <f>IF(+I14&lt;F34,I14,D35)</f>
        <v>365390.9</v>
      </c>
      <c r="F35" s="163">
        <f t="shared" si="10"/>
        <v>8799596.6902166028</v>
      </c>
      <c r="G35" s="165">
        <f t="shared" si="11"/>
        <v>1400369.2484484322</v>
      </c>
      <c r="H35" s="147">
        <f t="shared" si="12"/>
        <v>1400369.2484484322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2027</v>
      </c>
      <c r="D36" s="163">
        <f>IF(F35+SUM(E$17:E35)=D$10,F35,D$10-SUM(E$17:E35))</f>
        <v>8799596.6902166028</v>
      </c>
      <c r="E36" s="164">
        <f>IF(+I14&lt;F35,I14,D36)</f>
        <v>365390.9</v>
      </c>
      <c r="F36" s="163">
        <f t="shared" si="10"/>
        <v>8434205.7902166024</v>
      </c>
      <c r="G36" s="165">
        <f t="shared" si="11"/>
        <v>1358267.3367852732</v>
      </c>
      <c r="H36" s="147">
        <f t="shared" si="12"/>
        <v>1358267.3367852732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2028</v>
      </c>
      <c r="D37" s="163">
        <f>IF(F36+SUM(E$17:E36)=D$10,F36,D$10-SUM(E$17:E36))</f>
        <v>8434205.7902166024</v>
      </c>
      <c r="E37" s="164">
        <f>IF(+I14&lt;F36,I14,D37)</f>
        <v>365390.9</v>
      </c>
      <c r="F37" s="163">
        <f t="shared" si="10"/>
        <v>8068814.890216602</v>
      </c>
      <c r="G37" s="165">
        <f t="shared" si="11"/>
        <v>1316165.4251221141</v>
      </c>
      <c r="H37" s="147">
        <f t="shared" si="12"/>
        <v>1316165.4251221141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2029</v>
      </c>
      <c r="D38" s="163">
        <f>IF(F37+SUM(E$17:E37)=D$10,F37,D$10-SUM(E$17:E37))</f>
        <v>8068814.890216602</v>
      </c>
      <c r="E38" s="164">
        <f>IF(+I14&lt;F37,I14,D38)</f>
        <v>365390.9</v>
      </c>
      <c r="F38" s="163">
        <f t="shared" si="10"/>
        <v>7703423.9902166016</v>
      </c>
      <c r="G38" s="165">
        <f t="shared" si="11"/>
        <v>1274063.5134589551</v>
      </c>
      <c r="H38" s="147">
        <f t="shared" si="12"/>
        <v>1274063.5134589551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2030</v>
      </c>
      <c r="D39" s="163">
        <f>IF(F38+SUM(E$17:E38)=D$10,F38,D$10-SUM(E$17:E38))</f>
        <v>7703423.9902166016</v>
      </c>
      <c r="E39" s="164">
        <f>IF(+I14&lt;F38,I14,D39)</f>
        <v>365390.9</v>
      </c>
      <c r="F39" s="163">
        <f t="shared" si="10"/>
        <v>7338033.0902166013</v>
      </c>
      <c r="G39" s="165">
        <f t="shared" si="11"/>
        <v>1231961.6017957963</v>
      </c>
      <c r="H39" s="147">
        <f t="shared" si="12"/>
        <v>1231961.6017957963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2031</v>
      </c>
      <c r="D40" s="163">
        <f>IF(F39+SUM(E$17:E39)=D$10,F39,D$10-SUM(E$17:E39))</f>
        <v>7338033.0902166013</v>
      </c>
      <c r="E40" s="164">
        <f>IF(+I14&lt;F39,I14,D40)</f>
        <v>365390.9</v>
      </c>
      <c r="F40" s="163">
        <f t="shared" si="10"/>
        <v>6972642.1902166009</v>
      </c>
      <c r="G40" s="165">
        <f t="shared" si="11"/>
        <v>1189859.6901326373</v>
      </c>
      <c r="H40" s="147">
        <f t="shared" si="12"/>
        <v>1189859.6901326373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2032</v>
      </c>
      <c r="D41" s="163">
        <f>IF(F40+SUM(E$17:E40)=D$10,F40,D$10-SUM(E$17:E40))</f>
        <v>6972642.1902166009</v>
      </c>
      <c r="E41" s="164">
        <f>IF(+I14&lt;F40,I14,D41)</f>
        <v>365390.9</v>
      </c>
      <c r="F41" s="163">
        <f t="shared" si="10"/>
        <v>6607251.2902166005</v>
      </c>
      <c r="G41" s="165">
        <f t="shared" si="11"/>
        <v>1147757.7784694782</v>
      </c>
      <c r="H41" s="147">
        <f t="shared" si="12"/>
        <v>1147757.7784694782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2033</v>
      </c>
      <c r="D42" s="163">
        <f>IF(F41+SUM(E$17:E41)=D$10,F41,D$10-SUM(E$17:E41))</f>
        <v>6607251.2902166005</v>
      </c>
      <c r="E42" s="164">
        <f>IF(+I14&lt;F41,I14,D42)</f>
        <v>365390.9</v>
      </c>
      <c r="F42" s="163">
        <f t="shared" si="10"/>
        <v>6241860.3902166001</v>
      </c>
      <c r="G42" s="165">
        <f t="shared" si="11"/>
        <v>1105655.8668063194</v>
      </c>
      <c r="H42" s="147">
        <f t="shared" si="12"/>
        <v>1105655.8668063194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2034</v>
      </c>
      <c r="D43" s="163">
        <f>IF(F42+SUM(E$17:E42)=D$10,F42,D$10-SUM(E$17:E42))</f>
        <v>6241860.3902166001</v>
      </c>
      <c r="E43" s="164">
        <f>IF(+I14&lt;F42,I14,D43)</f>
        <v>365390.9</v>
      </c>
      <c r="F43" s="163">
        <f t="shared" si="10"/>
        <v>5876469.4902165998</v>
      </c>
      <c r="G43" s="165">
        <f t="shared" si="11"/>
        <v>1063553.9551431602</v>
      </c>
      <c r="H43" s="147">
        <f t="shared" si="12"/>
        <v>1063553.9551431602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2035</v>
      </c>
      <c r="D44" s="163">
        <f>IF(F43+SUM(E$17:E43)=D$10,F43,D$10-SUM(E$17:E43))</f>
        <v>5876469.4902165998</v>
      </c>
      <c r="E44" s="164">
        <f>IF(+I14&lt;F43,I14,D44)</f>
        <v>365390.9</v>
      </c>
      <c r="F44" s="163">
        <f t="shared" si="10"/>
        <v>5511078.5902165994</v>
      </c>
      <c r="G44" s="165">
        <f t="shared" si="11"/>
        <v>1021452.0434800014</v>
      </c>
      <c r="H44" s="147">
        <f t="shared" si="12"/>
        <v>1021452.0434800014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2036</v>
      </c>
      <c r="D45" s="163">
        <f>IF(F44+SUM(E$17:E44)=D$10,F44,D$10-SUM(E$17:E44))</f>
        <v>5511078.5902165994</v>
      </c>
      <c r="E45" s="164">
        <f>IF(+I14&lt;F44,I14,D45)</f>
        <v>365390.9</v>
      </c>
      <c r="F45" s="163">
        <f t="shared" si="10"/>
        <v>5145687.690216599</v>
      </c>
      <c r="G45" s="165">
        <f t="shared" si="11"/>
        <v>979350.13181684236</v>
      </c>
      <c r="H45" s="147">
        <f t="shared" si="12"/>
        <v>979350.13181684236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2037</v>
      </c>
      <c r="D46" s="163">
        <f>IF(F45+SUM(E$17:E45)=D$10,F45,D$10-SUM(E$17:E45))</f>
        <v>5145687.690216599</v>
      </c>
      <c r="E46" s="164">
        <f>IF(+I14&lt;F45,I14,D46)</f>
        <v>365390.9</v>
      </c>
      <c r="F46" s="163">
        <f t="shared" si="10"/>
        <v>4780296.7902165987</v>
      </c>
      <c r="G46" s="165">
        <f t="shared" si="11"/>
        <v>937248.22015368345</v>
      </c>
      <c r="H46" s="147">
        <f t="shared" si="12"/>
        <v>937248.22015368345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2038</v>
      </c>
      <c r="D47" s="163">
        <f>IF(F46+SUM(E$17:E46)=D$10,F46,D$10-SUM(E$17:E46))</f>
        <v>4780296.7902165987</v>
      </c>
      <c r="E47" s="164">
        <f>IF(+I14&lt;F46,I14,D47)</f>
        <v>365390.9</v>
      </c>
      <c r="F47" s="163">
        <f t="shared" si="10"/>
        <v>4414905.8902165983</v>
      </c>
      <c r="G47" s="165">
        <f t="shared" si="11"/>
        <v>895146.30849052442</v>
      </c>
      <c r="H47" s="147">
        <f t="shared" si="12"/>
        <v>895146.30849052442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2039</v>
      </c>
      <c r="D48" s="163">
        <f>IF(F47+SUM(E$17:E47)=D$10,F47,D$10-SUM(E$17:E47))</f>
        <v>4414905.8902165983</v>
      </c>
      <c r="E48" s="164">
        <f>IF(+I14&lt;F47,I14,D48)</f>
        <v>365390.9</v>
      </c>
      <c r="F48" s="163">
        <f t="shared" si="10"/>
        <v>4049514.9902165984</v>
      </c>
      <c r="G48" s="165">
        <f t="shared" si="11"/>
        <v>853044.3968273655</v>
      </c>
      <c r="H48" s="147">
        <f t="shared" si="12"/>
        <v>853044.3968273655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2040</v>
      </c>
      <c r="D49" s="163">
        <f>IF(F48+SUM(E$17:E48)=D$10,F48,D$10-SUM(E$17:E48))</f>
        <v>4049514.9902165984</v>
      </c>
      <c r="E49" s="164">
        <f>IF(+I14&lt;F48,I14,D49)</f>
        <v>365390.9</v>
      </c>
      <c r="F49" s="163">
        <f t="shared" si="10"/>
        <v>3684124.0902165985</v>
      </c>
      <c r="G49" s="165">
        <f t="shared" si="11"/>
        <v>810942.48516420659</v>
      </c>
      <c r="H49" s="147">
        <f t="shared" si="12"/>
        <v>810942.48516420659</v>
      </c>
      <c r="I49" s="160">
        <f t="shared" ref="I49:I72" si="13">H49-G49</f>
        <v>0</v>
      </c>
      <c r="J49" s="160"/>
      <c r="K49" s="335"/>
      <c r="L49" s="162">
        <f t="shared" ref="L49:L72" si="14">IF(K49&lt;&gt;0,+G49-K49,0)</f>
        <v>0</v>
      </c>
      <c r="M49" s="335"/>
      <c r="N49" s="162">
        <f t="shared" ref="N49:N72" si="15">IF(M49&lt;&gt;0,+H49-M49,0)</f>
        <v>0</v>
      </c>
      <c r="O49" s="162">
        <f t="shared" ref="O49:O72" si="16">+N49-L49</f>
        <v>0</v>
      </c>
      <c r="P49" s="4"/>
    </row>
    <row r="50" spans="2:16">
      <c r="B50" s="9" t="str">
        <f t="shared" si="6"/>
        <v/>
      </c>
      <c r="C50" s="157">
        <f>IF(D11="","-",+C49+1)</f>
        <v>2041</v>
      </c>
      <c r="D50" s="163">
        <f>IF(F49+SUM(E$17:E49)=D$10,F49,D$10-SUM(E$17:E49))</f>
        <v>3684124.0902165985</v>
      </c>
      <c r="E50" s="164">
        <f>IF(+I14&lt;F49,I14,D50)</f>
        <v>365390.9</v>
      </c>
      <c r="F50" s="163">
        <f t="shared" si="10"/>
        <v>3318733.1902165986</v>
      </c>
      <c r="G50" s="165">
        <f t="shared" si="11"/>
        <v>768840.57350104768</v>
      </c>
      <c r="H50" s="147">
        <f t="shared" si="12"/>
        <v>768840.57350104768</v>
      </c>
      <c r="I50" s="160">
        <f t="shared" si="13"/>
        <v>0</v>
      </c>
      <c r="J50" s="160"/>
      <c r="K50" s="335"/>
      <c r="L50" s="162">
        <f t="shared" si="14"/>
        <v>0</v>
      </c>
      <c r="M50" s="335"/>
      <c r="N50" s="162">
        <f t="shared" si="15"/>
        <v>0</v>
      </c>
      <c r="O50" s="162">
        <f t="shared" si="16"/>
        <v>0</v>
      </c>
      <c r="P50" s="4"/>
    </row>
    <row r="51" spans="2:16">
      <c r="B51" s="9" t="str">
        <f t="shared" si="6"/>
        <v/>
      </c>
      <c r="C51" s="157">
        <f>IF(D11="","-",+C50+1)</f>
        <v>2042</v>
      </c>
      <c r="D51" s="163">
        <f>IF(F50+SUM(E$17:E50)=D$10,F50,D$10-SUM(E$17:E50))</f>
        <v>3318733.1902165986</v>
      </c>
      <c r="E51" s="164">
        <f>IF(+I14&lt;F50,I14,D51)</f>
        <v>365390.9</v>
      </c>
      <c r="F51" s="163">
        <f t="shared" si="10"/>
        <v>2953342.2902165987</v>
      </c>
      <c r="G51" s="165">
        <f t="shared" si="11"/>
        <v>726738.66183788865</v>
      </c>
      <c r="H51" s="147">
        <f t="shared" si="12"/>
        <v>726738.66183788865</v>
      </c>
      <c r="I51" s="160">
        <f t="shared" si="13"/>
        <v>0</v>
      </c>
      <c r="J51" s="160"/>
      <c r="K51" s="335"/>
      <c r="L51" s="162">
        <f t="shared" si="14"/>
        <v>0</v>
      </c>
      <c r="M51" s="335"/>
      <c r="N51" s="162">
        <f t="shared" si="15"/>
        <v>0</v>
      </c>
      <c r="O51" s="162">
        <f t="shared" si="16"/>
        <v>0</v>
      </c>
      <c r="P51" s="4"/>
    </row>
    <row r="52" spans="2:16">
      <c r="B52" s="9" t="str">
        <f t="shared" si="6"/>
        <v/>
      </c>
      <c r="C52" s="157">
        <f>IF(D11="","-",+C51+1)</f>
        <v>2043</v>
      </c>
      <c r="D52" s="163">
        <f>IF(F51+SUM(E$17:E51)=D$10,F51,D$10-SUM(E$17:E51))</f>
        <v>2953342.2902165987</v>
      </c>
      <c r="E52" s="164">
        <f>IF(+I14&lt;F51,I14,D52)</f>
        <v>365390.9</v>
      </c>
      <c r="F52" s="163">
        <f t="shared" si="10"/>
        <v>2587951.3902165988</v>
      </c>
      <c r="G52" s="165">
        <f t="shared" si="11"/>
        <v>684636.75017472974</v>
      </c>
      <c r="H52" s="147">
        <f t="shared" si="12"/>
        <v>684636.75017472974</v>
      </c>
      <c r="I52" s="160">
        <f t="shared" si="13"/>
        <v>0</v>
      </c>
      <c r="J52" s="160"/>
      <c r="K52" s="335"/>
      <c r="L52" s="162">
        <f t="shared" si="14"/>
        <v>0</v>
      </c>
      <c r="M52" s="335"/>
      <c r="N52" s="162">
        <f t="shared" si="15"/>
        <v>0</v>
      </c>
      <c r="O52" s="162">
        <f t="shared" si="16"/>
        <v>0</v>
      </c>
      <c r="P52" s="4"/>
    </row>
    <row r="53" spans="2:16">
      <c r="B53" s="9" t="str">
        <f t="shared" si="6"/>
        <v/>
      </c>
      <c r="C53" s="157">
        <f>IF(D11="","-",+C52+1)</f>
        <v>2044</v>
      </c>
      <c r="D53" s="163">
        <f>IF(F52+SUM(E$17:E52)=D$10,F52,D$10-SUM(E$17:E52))</f>
        <v>2587951.3902165988</v>
      </c>
      <c r="E53" s="164">
        <f>IF(+I14&lt;F52,I14,D53)</f>
        <v>365390.9</v>
      </c>
      <c r="F53" s="163">
        <f t="shared" si="10"/>
        <v>2222560.4902165988</v>
      </c>
      <c r="G53" s="165">
        <f t="shared" si="11"/>
        <v>642534.83851157082</v>
      </c>
      <c r="H53" s="147">
        <f t="shared" si="12"/>
        <v>642534.83851157082</v>
      </c>
      <c r="I53" s="160">
        <f t="shared" si="13"/>
        <v>0</v>
      </c>
      <c r="J53" s="160"/>
      <c r="K53" s="335"/>
      <c r="L53" s="162">
        <f t="shared" si="14"/>
        <v>0</v>
      </c>
      <c r="M53" s="335"/>
      <c r="N53" s="162">
        <f t="shared" si="15"/>
        <v>0</v>
      </c>
      <c r="O53" s="162">
        <f t="shared" si="16"/>
        <v>0</v>
      </c>
      <c r="P53" s="4"/>
    </row>
    <row r="54" spans="2:16">
      <c r="B54" s="9" t="str">
        <f t="shared" si="6"/>
        <v/>
      </c>
      <c r="C54" s="157">
        <f>IF(D11="","-",+C53+1)</f>
        <v>2045</v>
      </c>
      <c r="D54" s="163">
        <f>IF(F53+SUM(E$17:E53)=D$10,F53,D$10-SUM(E$17:E53))</f>
        <v>2222560.4902165988</v>
      </c>
      <c r="E54" s="164">
        <f>IF(+I14&lt;F53,I14,D54)</f>
        <v>365390.9</v>
      </c>
      <c r="F54" s="163">
        <f t="shared" si="10"/>
        <v>1857169.5902165989</v>
      </c>
      <c r="G54" s="165">
        <f t="shared" si="11"/>
        <v>600432.92684841191</v>
      </c>
      <c r="H54" s="147">
        <f t="shared" si="12"/>
        <v>600432.92684841191</v>
      </c>
      <c r="I54" s="160">
        <f t="shared" si="13"/>
        <v>0</v>
      </c>
      <c r="J54" s="160"/>
      <c r="K54" s="335"/>
      <c r="L54" s="162">
        <f t="shared" si="14"/>
        <v>0</v>
      </c>
      <c r="M54" s="335"/>
      <c r="N54" s="162">
        <f t="shared" si="15"/>
        <v>0</v>
      </c>
      <c r="O54" s="162">
        <f t="shared" si="16"/>
        <v>0</v>
      </c>
      <c r="P54" s="4"/>
    </row>
    <row r="55" spans="2:16">
      <c r="B55" s="9" t="str">
        <f t="shared" si="6"/>
        <v/>
      </c>
      <c r="C55" s="157">
        <f>IF(D11="","-",+C54+1)</f>
        <v>2046</v>
      </c>
      <c r="D55" s="163">
        <f>IF(F54+SUM(E$17:E54)=D$10,F54,D$10-SUM(E$17:E54))</f>
        <v>1857169.5902165989</v>
      </c>
      <c r="E55" s="164">
        <f>IF(+I14&lt;F54,I14,D55)</f>
        <v>365390.9</v>
      </c>
      <c r="F55" s="163">
        <f t="shared" si="10"/>
        <v>1491778.690216599</v>
      </c>
      <c r="G55" s="165">
        <f t="shared" si="11"/>
        <v>558331.015185253</v>
      </c>
      <c r="H55" s="147">
        <f t="shared" si="12"/>
        <v>558331.015185253</v>
      </c>
      <c r="I55" s="160">
        <f t="shared" si="13"/>
        <v>0</v>
      </c>
      <c r="J55" s="160"/>
      <c r="K55" s="335"/>
      <c r="L55" s="162">
        <f t="shared" si="14"/>
        <v>0</v>
      </c>
      <c r="M55" s="335"/>
      <c r="N55" s="162">
        <f t="shared" si="15"/>
        <v>0</v>
      </c>
      <c r="O55" s="162">
        <f t="shared" si="16"/>
        <v>0</v>
      </c>
      <c r="P55" s="4"/>
    </row>
    <row r="56" spans="2:16">
      <c r="B56" s="9" t="str">
        <f t="shared" si="6"/>
        <v/>
      </c>
      <c r="C56" s="157">
        <f>IF(D11="","-",+C55+1)</f>
        <v>2047</v>
      </c>
      <c r="D56" s="163">
        <f>IF(F55+SUM(E$17:E55)=D$10,F55,D$10-SUM(E$17:E55))</f>
        <v>1491778.690216599</v>
      </c>
      <c r="E56" s="164">
        <f>IF(+I14&lt;F55,I14,D56)</f>
        <v>365390.9</v>
      </c>
      <c r="F56" s="163">
        <f t="shared" si="10"/>
        <v>1126387.7902165991</v>
      </c>
      <c r="G56" s="165">
        <f t="shared" si="11"/>
        <v>516229.10352209408</v>
      </c>
      <c r="H56" s="147">
        <f t="shared" si="12"/>
        <v>516229.10352209408</v>
      </c>
      <c r="I56" s="160">
        <f t="shared" si="13"/>
        <v>0</v>
      </c>
      <c r="J56" s="160"/>
      <c r="K56" s="335"/>
      <c r="L56" s="162">
        <f t="shared" si="14"/>
        <v>0</v>
      </c>
      <c r="M56" s="335"/>
      <c r="N56" s="162">
        <f t="shared" si="15"/>
        <v>0</v>
      </c>
      <c r="O56" s="162">
        <f t="shared" si="16"/>
        <v>0</v>
      </c>
      <c r="P56" s="4"/>
    </row>
    <row r="57" spans="2:16">
      <c r="B57" s="9" t="str">
        <f t="shared" si="6"/>
        <v/>
      </c>
      <c r="C57" s="157">
        <f>IF(D11="","-",+C56+1)</f>
        <v>2048</v>
      </c>
      <c r="D57" s="163">
        <f>IF(F56+SUM(E$17:E56)=D$10,F56,D$10-SUM(E$17:E56))</f>
        <v>1126387.7902165991</v>
      </c>
      <c r="E57" s="164">
        <f>IF(+I14&lt;F56,I14,D57)</f>
        <v>365390.9</v>
      </c>
      <c r="F57" s="163">
        <f t="shared" si="10"/>
        <v>760996.8902165991</v>
      </c>
      <c r="G57" s="165">
        <f t="shared" si="11"/>
        <v>474127.19185893517</v>
      </c>
      <c r="H57" s="147">
        <f t="shared" si="12"/>
        <v>474127.19185893517</v>
      </c>
      <c r="I57" s="160">
        <f t="shared" si="13"/>
        <v>0</v>
      </c>
      <c r="J57" s="160"/>
      <c r="K57" s="335"/>
      <c r="L57" s="162">
        <f t="shared" si="14"/>
        <v>0</v>
      </c>
      <c r="M57" s="335"/>
      <c r="N57" s="162">
        <f t="shared" si="15"/>
        <v>0</v>
      </c>
      <c r="O57" s="162">
        <f t="shared" si="16"/>
        <v>0</v>
      </c>
      <c r="P57" s="4"/>
    </row>
    <row r="58" spans="2:16">
      <c r="B58" s="9" t="str">
        <f t="shared" si="6"/>
        <v/>
      </c>
      <c r="C58" s="157">
        <f>IF(D11="","-",+C57+1)</f>
        <v>2049</v>
      </c>
      <c r="D58" s="163">
        <f>IF(F57+SUM(E$17:E57)=D$10,F57,D$10-SUM(E$17:E57))</f>
        <v>760996.8902165991</v>
      </c>
      <c r="E58" s="164">
        <f>IF(+I14&lt;F57,I14,D58)</f>
        <v>365390.9</v>
      </c>
      <c r="F58" s="163">
        <f t="shared" si="10"/>
        <v>395605.99021659908</v>
      </c>
      <c r="G58" s="165">
        <f t="shared" si="11"/>
        <v>432025.2801957762</v>
      </c>
      <c r="H58" s="147">
        <f t="shared" si="12"/>
        <v>432025.2801957762</v>
      </c>
      <c r="I58" s="160">
        <f t="shared" si="13"/>
        <v>0</v>
      </c>
      <c r="J58" s="160"/>
      <c r="K58" s="335"/>
      <c r="L58" s="162">
        <f t="shared" si="14"/>
        <v>0</v>
      </c>
      <c r="M58" s="335"/>
      <c r="N58" s="162">
        <f t="shared" si="15"/>
        <v>0</v>
      </c>
      <c r="O58" s="162">
        <f t="shared" si="16"/>
        <v>0</v>
      </c>
      <c r="P58" s="4"/>
    </row>
    <row r="59" spans="2:16">
      <c r="B59" s="9" t="str">
        <f t="shared" si="6"/>
        <v/>
      </c>
      <c r="C59" s="157">
        <f>IF(D11="","-",+C58+1)</f>
        <v>2050</v>
      </c>
      <c r="D59" s="163">
        <f>IF(F58+SUM(E$17:E58)=D$10,F58,D$10-SUM(E$17:E58))</f>
        <v>395605.99021659908</v>
      </c>
      <c r="E59" s="164">
        <f>IF(+I14&lt;F58,I14,D59)</f>
        <v>365390.9</v>
      </c>
      <c r="F59" s="163">
        <f t="shared" si="10"/>
        <v>30215.090216599056</v>
      </c>
      <c r="G59" s="165">
        <f t="shared" si="11"/>
        <v>389923.36853261729</v>
      </c>
      <c r="H59" s="147">
        <f t="shared" si="12"/>
        <v>389923.36853261729</v>
      </c>
      <c r="I59" s="160">
        <f t="shared" si="13"/>
        <v>0</v>
      </c>
      <c r="J59" s="160"/>
      <c r="K59" s="335"/>
      <c r="L59" s="162">
        <f t="shared" si="14"/>
        <v>0</v>
      </c>
      <c r="M59" s="335"/>
      <c r="N59" s="162">
        <f t="shared" si="15"/>
        <v>0</v>
      </c>
      <c r="O59" s="162">
        <f t="shared" si="16"/>
        <v>0</v>
      </c>
      <c r="P59" s="4"/>
    </row>
    <row r="60" spans="2:16">
      <c r="B60" s="9" t="str">
        <f t="shared" si="6"/>
        <v/>
      </c>
      <c r="C60" s="157">
        <f>IF(D11="","-",+C59+1)</f>
        <v>2051</v>
      </c>
      <c r="D60" s="163">
        <f>IF(F59+SUM(E$17:E59)=D$10,F59,D$10-SUM(E$17:E59))</f>
        <v>30215.090216599056</v>
      </c>
      <c r="E60" s="164">
        <f>IF(+I14&lt;F59,I14,D60)</f>
        <v>30215.090216599056</v>
      </c>
      <c r="F60" s="163">
        <f t="shared" si="10"/>
        <v>0</v>
      </c>
      <c r="G60" s="165">
        <f t="shared" si="11"/>
        <v>31955.846567117955</v>
      </c>
      <c r="H60" s="147">
        <f t="shared" si="12"/>
        <v>31955.846567117955</v>
      </c>
      <c r="I60" s="160">
        <f t="shared" si="13"/>
        <v>0</v>
      </c>
      <c r="J60" s="160"/>
      <c r="K60" s="335"/>
      <c r="L60" s="162">
        <f t="shared" si="14"/>
        <v>0</v>
      </c>
      <c r="M60" s="335"/>
      <c r="N60" s="162">
        <f t="shared" si="15"/>
        <v>0</v>
      </c>
      <c r="O60" s="162">
        <f t="shared" si="16"/>
        <v>0</v>
      </c>
      <c r="P60" s="4"/>
    </row>
    <row r="61" spans="2:16">
      <c r="B61" s="9" t="str">
        <f t="shared" si="6"/>
        <v/>
      </c>
      <c r="C61" s="157">
        <f>IF(D11="","-",+C60+1)</f>
        <v>2052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0"/>
        <v>0</v>
      </c>
      <c r="G61" s="165">
        <f t="shared" si="11"/>
        <v>0</v>
      </c>
      <c r="H61" s="147">
        <f t="shared" si="12"/>
        <v>0</v>
      </c>
      <c r="I61" s="160">
        <f t="shared" si="13"/>
        <v>0</v>
      </c>
      <c r="J61" s="160"/>
      <c r="K61" s="335"/>
      <c r="L61" s="162">
        <f t="shared" si="14"/>
        <v>0</v>
      </c>
      <c r="M61" s="335"/>
      <c r="N61" s="162">
        <f t="shared" si="15"/>
        <v>0</v>
      </c>
      <c r="O61" s="162">
        <f t="shared" si="16"/>
        <v>0</v>
      </c>
      <c r="P61" s="4"/>
    </row>
    <row r="62" spans="2:16">
      <c r="B62" s="9" t="str">
        <f t="shared" si="6"/>
        <v/>
      </c>
      <c r="C62" s="157">
        <f>IF(D11="","-",+C61+1)</f>
        <v>2053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0"/>
        <v>0</v>
      </c>
      <c r="G62" s="165">
        <f t="shared" si="11"/>
        <v>0</v>
      </c>
      <c r="H62" s="147">
        <f t="shared" si="12"/>
        <v>0</v>
      </c>
      <c r="I62" s="160">
        <f t="shared" si="13"/>
        <v>0</v>
      </c>
      <c r="J62" s="160"/>
      <c r="K62" s="335"/>
      <c r="L62" s="162">
        <f t="shared" si="14"/>
        <v>0</v>
      </c>
      <c r="M62" s="335"/>
      <c r="N62" s="162">
        <f t="shared" si="15"/>
        <v>0</v>
      </c>
      <c r="O62" s="162">
        <f t="shared" si="16"/>
        <v>0</v>
      </c>
      <c r="P62" s="4"/>
    </row>
    <row r="63" spans="2:16">
      <c r="B63" s="9" t="str">
        <f t="shared" si="6"/>
        <v/>
      </c>
      <c r="C63" s="157">
        <f>IF(D11="","-",+C62+1)</f>
        <v>2054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0"/>
        <v>0</v>
      </c>
      <c r="G63" s="165">
        <f t="shared" si="11"/>
        <v>0</v>
      </c>
      <c r="H63" s="147">
        <f t="shared" si="12"/>
        <v>0</v>
      </c>
      <c r="I63" s="160">
        <f t="shared" si="13"/>
        <v>0</v>
      </c>
      <c r="J63" s="160"/>
      <c r="K63" s="335"/>
      <c r="L63" s="162">
        <f t="shared" si="14"/>
        <v>0</v>
      </c>
      <c r="M63" s="335"/>
      <c r="N63" s="162">
        <f t="shared" si="15"/>
        <v>0</v>
      </c>
      <c r="O63" s="162">
        <f t="shared" si="16"/>
        <v>0</v>
      </c>
      <c r="P63" s="4"/>
    </row>
    <row r="64" spans="2:16">
      <c r="B64" s="9" t="str">
        <f t="shared" si="6"/>
        <v/>
      </c>
      <c r="C64" s="157">
        <f>IF(D11="","-",+C63+1)</f>
        <v>2055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0"/>
        <v>0</v>
      </c>
      <c r="G64" s="165">
        <f t="shared" si="11"/>
        <v>0</v>
      </c>
      <c r="H64" s="147">
        <f t="shared" si="12"/>
        <v>0</v>
      </c>
      <c r="I64" s="160">
        <f t="shared" si="13"/>
        <v>0</v>
      </c>
      <c r="J64" s="160"/>
      <c r="K64" s="335"/>
      <c r="L64" s="162">
        <f t="shared" si="14"/>
        <v>0</v>
      </c>
      <c r="M64" s="335"/>
      <c r="N64" s="162">
        <f t="shared" si="15"/>
        <v>0</v>
      </c>
      <c r="O64" s="162">
        <f t="shared" si="16"/>
        <v>0</v>
      </c>
      <c r="P64" s="4"/>
    </row>
    <row r="65" spans="2:16">
      <c r="B65" s="9" t="str">
        <f t="shared" si="6"/>
        <v/>
      </c>
      <c r="C65" s="157">
        <f>IF(D11="","-",+C64+1)</f>
        <v>2056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0"/>
        <v>0</v>
      </c>
      <c r="G65" s="165">
        <f t="shared" si="11"/>
        <v>0</v>
      </c>
      <c r="H65" s="147">
        <f t="shared" si="12"/>
        <v>0</v>
      </c>
      <c r="I65" s="160">
        <f t="shared" si="13"/>
        <v>0</v>
      </c>
      <c r="J65" s="160"/>
      <c r="K65" s="335"/>
      <c r="L65" s="162">
        <f t="shared" si="14"/>
        <v>0</v>
      </c>
      <c r="M65" s="335"/>
      <c r="N65" s="162">
        <f t="shared" si="15"/>
        <v>0</v>
      </c>
      <c r="O65" s="162">
        <f t="shared" si="16"/>
        <v>0</v>
      </c>
      <c r="P65" s="4"/>
    </row>
    <row r="66" spans="2:16">
      <c r="B66" s="9" t="str">
        <f t="shared" si="6"/>
        <v/>
      </c>
      <c r="C66" s="157">
        <f>IF(D11="","-",+C65+1)</f>
        <v>2057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0"/>
        <v>0</v>
      </c>
      <c r="G66" s="165">
        <f t="shared" si="11"/>
        <v>0</v>
      </c>
      <c r="H66" s="147">
        <f t="shared" si="12"/>
        <v>0</v>
      </c>
      <c r="I66" s="160">
        <f t="shared" si="13"/>
        <v>0</v>
      </c>
      <c r="J66" s="160"/>
      <c r="K66" s="335"/>
      <c r="L66" s="162">
        <f t="shared" si="14"/>
        <v>0</v>
      </c>
      <c r="M66" s="335"/>
      <c r="N66" s="162">
        <f t="shared" si="15"/>
        <v>0</v>
      </c>
      <c r="O66" s="162">
        <f t="shared" si="16"/>
        <v>0</v>
      </c>
      <c r="P66" s="4"/>
    </row>
    <row r="67" spans="2:16">
      <c r="B67" s="9" t="str">
        <f t="shared" si="6"/>
        <v/>
      </c>
      <c r="C67" s="157">
        <f>IF(D11="","-",+C66+1)</f>
        <v>2058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0"/>
        <v>0</v>
      </c>
      <c r="G67" s="165">
        <f t="shared" si="11"/>
        <v>0</v>
      </c>
      <c r="H67" s="147">
        <f t="shared" si="12"/>
        <v>0</v>
      </c>
      <c r="I67" s="160">
        <f t="shared" si="13"/>
        <v>0</v>
      </c>
      <c r="J67" s="160"/>
      <c r="K67" s="335"/>
      <c r="L67" s="162">
        <f t="shared" si="14"/>
        <v>0</v>
      </c>
      <c r="M67" s="335"/>
      <c r="N67" s="162">
        <f t="shared" si="15"/>
        <v>0</v>
      </c>
      <c r="O67" s="162">
        <f t="shared" si="16"/>
        <v>0</v>
      </c>
      <c r="P67" s="4"/>
    </row>
    <row r="68" spans="2:16">
      <c r="B68" s="9" t="str">
        <f t="shared" si="6"/>
        <v/>
      </c>
      <c r="C68" s="157">
        <f>IF(D11="","-",+C67+1)</f>
        <v>2059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0"/>
        <v>0</v>
      </c>
      <c r="G68" s="165">
        <f t="shared" si="11"/>
        <v>0</v>
      </c>
      <c r="H68" s="147">
        <f t="shared" si="12"/>
        <v>0</v>
      </c>
      <c r="I68" s="160">
        <f t="shared" si="13"/>
        <v>0</v>
      </c>
      <c r="J68" s="160"/>
      <c r="K68" s="335"/>
      <c r="L68" s="162">
        <f t="shared" si="14"/>
        <v>0</v>
      </c>
      <c r="M68" s="335"/>
      <c r="N68" s="162">
        <f t="shared" si="15"/>
        <v>0</v>
      </c>
      <c r="O68" s="162">
        <f t="shared" si="16"/>
        <v>0</v>
      </c>
      <c r="P68" s="4"/>
    </row>
    <row r="69" spans="2:16">
      <c r="B69" s="9" t="str">
        <f t="shared" si="6"/>
        <v/>
      </c>
      <c r="C69" s="157">
        <f>IF(D11="","-",+C68+1)</f>
        <v>2060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0"/>
        <v>0</v>
      </c>
      <c r="G69" s="165">
        <f t="shared" si="11"/>
        <v>0</v>
      </c>
      <c r="H69" s="147">
        <f t="shared" si="12"/>
        <v>0</v>
      </c>
      <c r="I69" s="160">
        <f t="shared" si="13"/>
        <v>0</v>
      </c>
      <c r="J69" s="160"/>
      <c r="K69" s="335"/>
      <c r="L69" s="162">
        <f t="shared" si="14"/>
        <v>0</v>
      </c>
      <c r="M69" s="335"/>
      <c r="N69" s="162">
        <f t="shared" si="15"/>
        <v>0</v>
      </c>
      <c r="O69" s="162">
        <f t="shared" si="16"/>
        <v>0</v>
      </c>
      <c r="P69" s="4"/>
    </row>
    <row r="70" spans="2:16">
      <c r="B70" s="9" t="str">
        <f t="shared" si="6"/>
        <v/>
      </c>
      <c r="C70" s="157">
        <f>IF(D11="","-",+C69+1)</f>
        <v>2061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0"/>
        <v>0</v>
      </c>
      <c r="G70" s="165">
        <f t="shared" si="11"/>
        <v>0</v>
      </c>
      <c r="H70" s="147">
        <f t="shared" si="12"/>
        <v>0</v>
      </c>
      <c r="I70" s="160">
        <f t="shared" si="13"/>
        <v>0</v>
      </c>
      <c r="J70" s="160"/>
      <c r="K70" s="335"/>
      <c r="L70" s="162">
        <f t="shared" si="14"/>
        <v>0</v>
      </c>
      <c r="M70" s="335"/>
      <c r="N70" s="162">
        <f t="shared" si="15"/>
        <v>0</v>
      </c>
      <c r="O70" s="162">
        <f t="shared" si="16"/>
        <v>0</v>
      </c>
      <c r="P70" s="4"/>
    </row>
    <row r="71" spans="2:16">
      <c r="B71" s="9" t="str">
        <f t="shared" si="6"/>
        <v/>
      </c>
      <c r="C71" s="157">
        <f>IF(D11="","-",+C70+1)</f>
        <v>2062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0"/>
        <v>0</v>
      </c>
      <c r="G71" s="165">
        <f t="shared" si="11"/>
        <v>0</v>
      </c>
      <c r="H71" s="147">
        <f t="shared" si="12"/>
        <v>0</v>
      </c>
      <c r="I71" s="160">
        <f t="shared" si="13"/>
        <v>0</v>
      </c>
      <c r="J71" s="160"/>
      <c r="K71" s="335"/>
      <c r="L71" s="162">
        <f t="shared" si="14"/>
        <v>0</v>
      </c>
      <c r="M71" s="335"/>
      <c r="N71" s="162">
        <f t="shared" si="15"/>
        <v>0</v>
      </c>
      <c r="O71" s="162">
        <f t="shared" si="16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2063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0"/>
        <v>0</v>
      </c>
      <c r="G72" s="169">
        <f t="shared" si="11"/>
        <v>0</v>
      </c>
      <c r="H72" s="169">
        <f t="shared" si="12"/>
        <v>0</v>
      </c>
      <c r="I72" s="172">
        <f t="shared" si="13"/>
        <v>0</v>
      </c>
      <c r="J72" s="160"/>
      <c r="K72" s="336"/>
      <c r="L72" s="173">
        <f t="shared" si="14"/>
        <v>0</v>
      </c>
      <c r="M72" s="336"/>
      <c r="N72" s="173">
        <f t="shared" si="15"/>
        <v>0</v>
      </c>
      <c r="O72" s="173">
        <f t="shared" si="16"/>
        <v>0</v>
      </c>
      <c r="P72" s="4"/>
    </row>
    <row r="73" spans="2:16">
      <c r="C73" s="158" t="s">
        <v>72</v>
      </c>
      <c r="D73" s="115"/>
      <c r="E73" s="115">
        <f>SUM(E17:E72)</f>
        <v>14615635.999999998</v>
      </c>
      <c r="F73" s="115"/>
      <c r="G73" s="115">
        <f>SUM(G17:G72)</f>
        <v>54707668.297235675</v>
      </c>
      <c r="H73" s="115">
        <f>SUM(H17:H72)</f>
        <v>54707668.297235675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4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 t="str">
        <f>O4</f>
        <v>WFEC DA Adjustment</v>
      </c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IF(J92&lt;D11,0,VLOOKUP(J92,C17:O72,9))-P87</f>
        <v>1835217.4173913042</v>
      </c>
      <c r="N87" s="202">
        <f>IF(J92&lt;D11,0,VLOOKUP(J92,C17:O72,11))-P87</f>
        <v>1835217.4173913042</v>
      </c>
      <c r="O87" s="203">
        <f>+N87-M87</f>
        <v>0</v>
      </c>
      <c r="P87" s="109">
        <f>O5</f>
        <v>15688.800000000001</v>
      </c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IF(J92&lt;D11,0,VLOOKUP(J92,C99:P154,6))-P87</f>
        <v>1833223.2</v>
      </c>
      <c r="N88" s="204">
        <f>IF(J92&lt;D11,0,VLOOKUP(J92,C99:P154,7))-P87</f>
        <v>1833223.2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Cache-Snyder to Altus Jct. 138 kV line (w/2 ring bus stations)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-1994.2173913042061</v>
      </c>
      <c r="N89" s="207">
        <f>+N88-N87</f>
        <v>-1994.2173913042061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TP2004147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14615636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7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317731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271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2008</v>
      </c>
      <c r="D99" s="366">
        <v>0</v>
      </c>
      <c r="E99" s="368">
        <v>114341</v>
      </c>
      <c r="F99" s="371">
        <v>14429811</v>
      </c>
      <c r="G99" s="373">
        <f t="shared" ref="G99:G130" si="17">+(F99+D99)/2</f>
        <v>7214905.5</v>
      </c>
      <c r="H99" s="374">
        <v>1260396</v>
      </c>
      <c r="I99" s="375">
        <v>1260396</v>
      </c>
      <c r="J99" s="162">
        <f t="shared" ref="J99:J131" si="18">+I99-H99</f>
        <v>0</v>
      </c>
      <c r="K99" s="162"/>
      <c r="L99" s="337">
        <v>1260396</v>
      </c>
      <c r="M99" s="161">
        <f t="shared" ref="M99:M130" si="19">IF(L99&lt;&gt;0,+H99-L99,0)</f>
        <v>0</v>
      </c>
      <c r="N99" s="337">
        <f>+L99</f>
        <v>1260396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>IU</v>
      </c>
      <c r="C100" s="157">
        <f>IF(D93="","-",+C99+1)</f>
        <v>2009</v>
      </c>
      <c r="D100" s="366">
        <v>14569170</v>
      </c>
      <c r="E100" s="368">
        <v>262206</v>
      </c>
      <c r="F100" s="371">
        <v>14306964</v>
      </c>
      <c r="G100" s="371">
        <v>14438067</v>
      </c>
      <c r="H100" s="368">
        <v>2373171</v>
      </c>
      <c r="I100" s="370">
        <v>2373171</v>
      </c>
      <c r="J100" s="162">
        <f t="shared" si="18"/>
        <v>0</v>
      </c>
      <c r="K100" s="162"/>
      <c r="L100" s="338">
        <f t="shared" ref="L100:L105" si="22">H100</f>
        <v>2373171</v>
      </c>
      <c r="M100" s="162">
        <f t="shared" si="19"/>
        <v>0</v>
      </c>
      <c r="N100" s="338">
        <f t="shared" ref="N100:N105" si="23">I100</f>
        <v>2373171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4">IF(D101=F100,"","IU")</f>
        <v>IU</v>
      </c>
      <c r="C101" s="157">
        <f>IF(D93="","-",+C100+1)</f>
        <v>2010</v>
      </c>
      <c r="D101" s="366">
        <v>14239089</v>
      </c>
      <c r="E101" s="368">
        <v>286581</v>
      </c>
      <c r="F101" s="371">
        <v>13952508</v>
      </c>
      <c r="G101" s="371">
        <v>14095798.5</v>
      </c>
      <c r="H101" s="368">
        <v>2553400</v>
      </c>
      <c r="I101" s="370">
        <v>2553400</v>
      </c>
      <c r="J101" s="162">
        <f t="shared" si="18"/>
        <v>0</v>
      </c>
      <c r="K101" s="162"/>
      <c r="L101" s="380">
        <f t="shared" si="22"/>
        <v>2553400</v>
      </c>
      <c r="M101" s="381">
        <f t="shared" si="19"/>
        <v>0</v>
      </c>
      <c r="N101" s="380">
        <f t="shared" si="23"/>
        <v>2553400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4"/>
        <v/>
      </c>
      <c r="C102" s="157">
        <f>IF(D93="","-",+C101+1)</f>
        <v>2011</v>
      </c>
      <c r="D102" s="366">
        <v>13952508</v>
      </c>
      <c r="E102" s="368">
        <v>281070</v>
      </c>
      <c r="F102" s="371">
        <v>13671438</v>
      </c>
      <c r="G102" s="371">
        <v>13811973</v>
      </c>
      <c r="H102" s="368">
        <v>2212169</v>
      </c>
      <c r="I102" s="370">
        <v>2212169</v>
      </c>
      <c r="J102" s="162">
        <f t="shared" si="18"/>
        <v>0</v>
      </c>
      <c r="K102" s="162"/>
      <c r="L102" s="380">
        <f t="shared" si="22"/>
        <v>2212169</v>
      </c>
      <c r="M102" s="381">
        <f t="shared" si="19"/>
        <v>0</v>
      </c>
      <c r="N102" s="380">
        <f t="shared" si="23"/>
        <v>2212169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4"/>
        <v/>
      </c>
      <c r="C103" s="157">
        <f>IF(D93="","-",+C102+1)</f>
        <v>2012</v>
      </c>
      <c r="D103" s="366">
        <v>13671438</v>
      </c>
      <c r="E103" s="368">
        <v>281070</v>
      </c>
      <c r="F103" s="371">
        <v>13390368</v>
      </c>
      <c r="G103" s="371">
        <v>13530903</v>
      </c>
      <c r="H103" s="368">
        <v>2227565</v>
      </c>
      <c r="I103" s="370">
        <v>2227565</v>
      </c>
      <c r="J103" s="162">
        <v>0</v>
      </c>
      <c r="K103" s="162"/>
      <c r="L103" s="380">
        <f t="shared" si="22"/>
        <v>2227565</v>
      </c>
      <c r="M103" s="381">
        <f>IF(L103&lt;&gt;0,+H103-L103,0)</f>
        <v>0</v>
      </c>
      <c r="N103" s="380">
        <f t="shared" si="23"/>
        <v>2227565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4"/>
        <v/>
      </c>
      <c r="C104" s="157">
        <f>IF(D93="","-",+C103+1)</f>
        <v>2013</v>
      </c>
      <c r="D104" s="366">
        <v>13390368</v>
      </c>
      <c r="E104" s="368">
        <v>281070</v>
      </c>
      <c r="F104" s="371">
        <v>13109298</v>
      </c>
      <c r="G104" s="371">
        <v>13249833</v>
      </c>
      <c r="H104" s="368">
        <v>2188246</v>
      </c>
      <c r="I104" s="370">
        <v>2188246</v>
      </c>
      <c r="J104" s="162">
        <v>0</v>
      </c>
      <c r="K104" s="162"/>
      <c r="L104" s="380">
        <f t="shared" si="22"/>
        <v>2188246</v>
      </c>
      <c r="M104" s="381">
        <f>IF(L104&lt;&gt;0,+H104-L104,0)</f>
        <v>0</v>
      </c>
      <c r="N104" s="380">
        <f t="shared" si="23"/>
        <v>2188246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4"/>
        <v/>
      </c>
      <c r="C105" s="157">
        <f>IF(D93="","-",+C104+1)</f>
        <v>2014</v>
      </c>
      <c r="D105" s="366">
        <v>13109298</v>
      </c>
      <c r="E105" s="368">
        <v>281070</v>
      </c>
      <c r="F105" s="371">
        <v>12828228</v>
      </c>
      <c r="G105" s="371">
        <v>12968763</v>
      </c>
      <c r="H105" s="368">
        <v>2104425</v>
      </c>
      <c r="I105" s="370">
        <v>2104425</v>
      </c>
      <c r="J105" s="162">
        <v>0</v>
      </c>
      <c r="K105" s="162"/>
      <c r="L105" s="380">
        <f t="shared" si="22"/>
        <v>2104425</v>
      </c>
      <c r="M105" s="381">
        <f>IF(L105&lt;&gt;0,+H105-L105,0)</f>
        <v>0</v>
      </c>
      <c r="N105" s="380">
        <f t="shared" si="23"/>
        <v>2104425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4"/>
        <v/>
      </c>
      <c r="C106" s="157">
        <f>IF(D93="","-",+C105+1)</f>
        <v>2015</v>
      </c>
      <c r="D106" s="366">
        <v>12828228</v>
      </c>
      <c r="E106" s="368">
        <v>281070</v>
      </c>
      <c r="F106" s="371">
        <v>12547158</v>
      </c>
      <c r="G106" s="371">
        <v>12687693</v>
      </c>
      <c r="H106" s="368">
        <v>2012204</v>
      </c>
      <c r="I106" s="370">
        <v>2012204</v>
      </c>
      <c r="J106" s="162">
        <f t="shared" si="18"/>
        <v>0</v>
      </c>
      <c r="K106" s="162"/>
      <c r="L106" s="380">
        <f>H106</f>
        <v>2012204</v>
      </c>
      <c r="M106" s="381">
        <f>IF(L106&lt;&gt;0,+H106-L106,0)</f>
        <v>0</v>
      </c>
      <c r="N106" s="380">
        <f>I106</f>
        <v>2012204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4"/>
        <v/>
      </c>
      <c r="C107" s="157">
        <f>IF(D93="","-",+C106+1)</f>
        <v>2016</v>
      </c>
      <c r="D107" s="366">
        <v>12547158</v>
      </c>
      <c r="E107" s="368">
        <v>317731</v>
      </c>
      <c r="F107" s="371">
        <v>12229427</v>
      </c>
      <c r="G107" s="371">
        <v>12388292.5</v>
      </c>
      <c r="H107" s="368">
        <v>1914777</v>
      </c>
      <c r="I107" s="370">
        <v>1914777</v>
      </c>
      <c r="J107" s="162">
        <v>0</v>
      </c>
      <c r="K107" s="162"/>
      <c r="L107" s="380">
        <f>H107</f>
        <v>1914777</v>
      </c>
      <c r="M107" s="381">
        <f>IF(L107&lt;&gt;0,+H107-L107,0)</f>
        <v>0</v>
      </c>
      <c r="N107" s="380">
        <f>I107</f>
        <v>1914777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24"/>
        <v/>
      </c>
      <c r="C108" s="157">
        <f>IF(D93="","-",+C107+1)</f>
        <v>2017</v>
      </c>
      <c r="D108" s="158">
        <f>IF(F107+SUM(E$99:E107)=D$92,F107,D$92-SUM(E$99:E107))</f>
        <v>12229427</v>
      </c>
      <c r="E108" s="165">
        <f>IF(+J96&lt;F107,J96,D108)</f>
        <v>317731</v>
      </c>
      <c r="F108" s="163">
        <f t="shared" ref="F108:F130" si="25">+D108-E108</f>
        <v>11911696</v>
      </c>
      <c r="G108" s="163">
        <f t="shared" si="17"/>
        <v>12070561.5</v>
      </c>
      <c r="H108" s="167">
        <f t="shared" ref="H108:H154" si="26">ROUND(J$94*G108,0)+E108</f>
        <v>1848912</v>
      </c>
      <c r="I108" s="317">
        <f t="shared" ref="I108:I154" si="27">ROUND(J$95*G108,0)+E108</f>
        <v>1848912</v>
      </c>
      <c r="J108" s="162">
        <f t="shared" si="18"/>
        <v>0</v>
      </c>
      <c r="K108" s="162"/>
      <c r="L108" s="335"/>
      <c r="M108" s="162">
        <f t="shared" si="19"/>
        <v>0</v>
      </c>
      <c r="N108" s="335"/>
      <c r="O108" s="162">
        <f t="shared" si="20"/>
        <v>0</v>
      </c>
      <c r="P108" s="162">
        <f t="shared" si="21"/>
        <v>0</v>
      </c>
    </row>
    <row r="109" spans="1:16">
      <c r="B109" s="9" t="str">
        <f t="shared" si="24"/>
        <v/>
      </c>
      <c r="C109" s="157">
        <f>IF(D93="","-",+C108+1)</f>
        <v>2018</v>
      </c>
      <c r="D109" s="158">
        <f>IF(F108+SUM(E$99:E108)=D$92,F108,D$92-SUM(E$99:E108))</f>
        <v>11911696</v>
      </c>
      <c r="E109" s="165">
        <f>IF(+J96&lt;F108,J96,D109)</f>
        <v>317731</v>
      </c>
      <c r="F109" s="163">
        <f t="shared" si="25"/>
        <v>11593965</v>
      </c>
      <c r="G109" s="163">
        <f t="shared" si="17"/>
        <v>11752830.5</v>
      </c>
      <c r="H109" s="167">
        <f t="shared" si="26"/>
        <v>1808607</v>
      </c>
      <c r="I109" s="317">
        <f t="shared" si="27"/>
        <v>1808607</v>
      </c>
      <c r="J109" s="162">
        <f t="shared" si="18"/>
        <v>0</v>
      </c>
      <c r="K109" s="162"/>
      <c r="L109" s="335"/>
      <c r="M109" s="162">
        <f t="shared" si="19"/>
        <v>0</v>
      </c>
      <c r="N109" s="335"/>
      <c r="O109" s="162">
        <f t="shared" si="20"/>
        <v>0</v>
      </c>
      <c r="P109" s="162">
        <f t="shared" si="21"/>
        <v>0</v>
      </c>
    </row>
    <row r="110" spans="1:16">
      <c r="B110" s="9" t="str">
        <f t="shared" si="24"/>
        <v/>
      </c>
      <c r="C110" s="157">
        <f>IF(D93="","-",+C109+1)</f>
        <v>2019</v>
      </c>
      <c r="D110" s="158">
        <f>IF(F109+SUM(E$99:E109)=D$92,F109,D$92-SUM(E$99:E109))</f>
        <v>11593965</v>
      </c>
      <c r="E110" s="165">
        <f>IF(+J96&lt;F109,J96,D110)</f>
        <v>317731</v>
      </c>
      <c r="F110" s="163">
        <f t="shared" si="25"/>
        <v>11276234</v>
      </c>
      <c r="G110" s="163">
        <f t="shared" si="17"/>
        <v>11435099.5</v>
      </c>
      <c r="H110" s="167">
        <f t="shared" si="26"/>
        <v>1768302</v>
      </c>
      <c r="I110" s="317">
        <f t="shared" si="27"/>
        <v>1768302</v>
      </c>
      <c r="J110" s="162">
        <f t="shared" si="18"/>
        <v>0</v>
      </c>
      <c r="K110" s="162"/>
      <c r="L110" s="335"/>
      <c r="M110" s="162">
        <f t="shared" si="19"/>
        <v>0</v>
      </c>
      <c r="N110" s="335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4"/>
        <v/>
      </c>
      <c r="C111" s="157">
        <f>IF(D93="","-",+C110+1)</f>
        <v>2020</v>
      </c>
      <c r="D111" s="158">
        <f>IF(F110+SUM(E$99:E110)=D$92,F110,D$92-SUM(E$99:E110))</f>
        <v>11276234</v>
      </c>
      <c r="E111" s="165">
        <f>IF(+J96&lt;F110,J96,D111)</f>
        <v>317731</v>
      </c>
      <c r="F111" s="163">
        <f t="shared" si="25"/>
        <v>10958503</v>
      </c>
      <c r="G111" s="163">
        <f t="shared" si="17"/>
        <v>11117368.5</v>
      </c>
      <c r="H111" s="167">
        <f t="shared" si="26"/>
        <v>1727997</v>
      </c>
      <c r="I111" s="317">
        <f t="shared" si="27"/>
        <v>1727997</v>
      </c>
      <c r="J111" s="162">
        <f t="shared" si="18"/>
        <v>0</v>
      </c>
      <c r="K111" s="162"/>
      <c r="L111" s="335"/>
      <c r="M111" s="162">
        <f t="shared" si="19"/>
        <v>0</v>
      </c>
      <c r="N111" s="335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4"/>
        <v/>
      </c>
      <c r="C112" s="157">
        <f>IF(D93="","-",+C111+1)</f>
        <v>2021</v>
      </c>
      <c r="D112" s="158">
        <f>IF(F111+SUM(E$99:E111)=D$92,F111,D$92-SUM(E$99:E111))</f>
        <v>10958503</v>
      </c>
      <c r="E112" s="165">
        <f>IF(+J96&lt;F111,J96,D112)</f>
        <v>317731</v>
      </c>
      <c r="F112" s="163">
        <f t="shared" si="25"/>
        <v>10640772</v>
      </c>
      <c r="G112" s="163">
        <f t="shared" si="17"/>
        <v>10799637.5</v>
      </c>
      <c r="H112" s="167">
        <f t="shared" si="26"/>
        <v>1687692</v>
      </c>
      <c r="I112" s="317">
        <f t="shared" si="27"/>
        <v>1687692</v>
      </c>
      <c r="J112" s="162">
        <f t="shared" si="18"/>
        <v>0</v>
      </c>
      <c r="K112" s="162"/>
      <c r="L112" s="335"/>
      <c r="M112" s="162">
        <f t="shared" si="19"/>
        <v>0</v>
      </c>
      <c r="N112" s="335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4"/>
        <v/>
      </c>
      <c r="C113" s="157">
        <f>IF(D93="","-",+C112+1)</f>
        <v>2022</v>
      </c>
      <c r="D113" s="158">
        <f>IF(F112+SUM(E$99:E112)=D$92,F112,D$92-SUM(E$99:E112))</f>
        <v>10640772</v>
      </c>
      <c r="E113" s="165">
        <f>IF(+J96&lt;F112,J96,D113)</f>
        <v>317731</v>
      </c>
      <c r="F113" s="163">
        <f t="shared" si="25"/>
        <v>10323041</v>
      </c>
      <c r="G113" s="163">
        <f t="shared" si="17"/>
        <v>10481906.5</v>
      </c>
      <c r="H113" s="167">
        <f t="shared" si="26"/>
        <v>1647387</v>
      </c>
      <c r="I113" s="317">
        <f t="shared" si="27"/>
        <v>1647387</v>
      </c>
      <c r="J113" s="162">
        <f t="shared" si="18"/>
        <v>0</v>
      </c>
      <c r="K113" s="162"/>
      <c r="L113" s="335"/>
      <c r="M113" s="162">
        <f t="shared" si="19"/>
        <v>0</v>
      </c>
      <c r="N113" s="335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4"/>
        <v/>
      </c>
      <c r="C114" s="157">
        <f>IF(D93="","-",+C113+1)</f>
        <v>2023</v>
      </c>
      <c r="D114" s="158">
        <f>IF(F113+SUM(E$99:E113)=D$92,F113,D$92-SUM(E$99:E113))</f>
        <v>10323041</v>
      </c>
      <c r="E114" s="165">
        <f>IF(+J96&lt;F113,J96,D114)</f>
        <v>317731</v>
      </c>
      <c r="F114" s="163">
        <f t="shared" si="25"/>
        <v>10005310</v>
      </c>
      <c r="G114" s="163">
        <f t="shared" si="17"/>
        <v>10164175.5</v>
      </c>
      <c r="H114" s="167">
        <f t="shared" si="26"/>
        <v>1607082</v>
      </c>
      <c r="I114" s="317">
        <f t="shared" si="27"/>
        <v>1607082</v>
      </c>
      <c r="J114" s="162">
        <f t="shared" si="18"/>
        <v>0</v>
      </c>
      <c r="K114" s="162"/>
      <c r="L114" s="335"/>
      <c r="M114" s="162">
        <f t="shared" si="19"/>
        <v>0</v>
      </c>
      <c r="N114" s="335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4"/>
        <v/>
      </c>
      <c r="C115" s="157">
        <f>IF(D93="","-",+C114+1)</f>
        <v>2024</v>
      </c>
      <c r="D115" s="158">
        <f>IF(F114+SUM(E$99:E114)=D$92,F114,D$92-SUM(E$99:E114))</f>
        <v>10005310</v>
      </c>
      <c r="E115" s="165">
        <f>IF(+J96&lt;F114,J96,D115)</f>
        <v>317731</v>
      </c>
      <c r="F115" s="163">
        <f t="shared" si="25"/>
        <v>9687579</v>
      </c>
      <c r="G115" s="163">
        <f t="shared" si="17"/>
        <v>9846444.5</v>
      </c>
      <c r="H115" s="167">
        <f t="shared" si="26"/>
        <v>1566777</v>
      </c>
      <c r="I115" s="317">
        <f t="shared" si="27"/>
        <v>1566777</v>
      </c>
      <c r="J115" s="162">
        <f t="shared" si="18"/>
        <v>0</v>
      </c>
      <c r="K115" s="162"/>
      <c r="L115" s="335"/>
      <c r="M115" s="162">
        <f t="shared" si="19"/>
        <v>0</v>
      </c>
      <c r="N115" s="335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4"/>
        <v/>
      </c>
      <c r="C116" s="157">
        <f>IF(D93="","-",+C115+1)</f>
        <v>2025</v>
      </c>
      <c r="D116" s="158">
        <f>IF(F115+SUM(E$99:E115)=D$92,F115,D$92-SUM(E$99:E115))</f>
        <v>9687579</v>
      </c>
      <c r="E116" s="165">
        <f>IF(+J96&lt;F115,J96,D116)</f>
        <v>317731</v>
      </c>
      <c r="F116" s="163">
        <f t="shared" si="25"/>
        <v>9369848</v>
      </c>
      <c r="G116" s="163">
        <f t="shared" si="17"/>
        <v>9528713.5</v>
      </c>
      <c r="H116" s="167">
        <f t="shared" si="26"/>
        <v>1526472</v>
      </c>
      <c r="I116" s="317">
        <f t="shared" si="27"/>
        <v>1526472</v>
      </c>
      <c r="J116" s="162">
        <f t="shared" si="18"/>
        <v>0</v>
      </c>
      <c r="K116" s="162"/>
      <c r="L116" s="335"/>
      <c r="M116" s="162">
        <f t="shared" si="19"/>
        <v>0</v>
      </c>
      <c r="N116" s="335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4"/>
        <v/>
      </c>
      <c r="C117" s="157">
        <f>IF(D93="","-",+C116+1)</f>
        <v>2026</v>
      </c>
      <c r="D117" s="158">
        <f>IF(F116+SUM(E$99:E116)=D$92,F116,D$92-SUM(E$99:E116))</f>
        <v>9369848</v>
      </c>
      <c r="E117" s="165">
        <f>IF(+J96&lt;F116,J96,D117)</f>
        <v>317731</v>
      </c>
      <c r="F117" s="163">
        <f t="shared" si="25"/>
        <v>9052117</v>
      </c>
      <c r="G117" s="163">
        <f t="shared" si="17"/>
        <v>9210982.5</v>
      </c>
      <c r="H117" s="167">
        <f t="shared" si="26"/>
        <v>1486167</v>
      </c>
      <c r="I117" s="317">
        <f t="shared" si="27"/>
        <v>1486167</v>
      </c>
      <c r="J117" s="162">
        <f t="shared" si="18"/>
        <v>0</v>
      </c>
      <c r="K117" s="162"/>
      <c r="L117" s="335"/>
      <c r="M117" s="162">
        <f t="shared" si="19"/>
        <v>0</v>
      </c>
      <c r="N117" s="335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4"/>
        <v/>
      </c>
      <c r="C118" s="157">
        <f>IF(D93="","-",+C117+1)</f>
        <v>2027</v>
      </c>
      <c r="D118" s="158">
        <f>IF(F117+SUM(E$99:E117)=D$92,F117,D$92-SUM(E$99:E117))</f>
        <v>9052117</v>
      </c>
      <c r="E118" s="165">
        <f>IF(+J96&lt;F117,J96,D118)</f>
        <v>317731</v>
      </c>
      <c r="F118" s="163">
        <f t="shared" si="25"/>
        <v>8734386</v>
      </c>
      <c r="G118" s="163">
        <f t="shared" si="17"/>
        <v>8893251.5</v>
      </c>
      <c r="H118" s="167">
        <f t="shared" si="26"/>
        <v>1445862</v>
      </c>
      <c r="I118" s="317">
        <f t="shared" si="27"/>
        <v>1445862</v>
      </c>
      <c r="J118" s="162">
        <f t="shared" si="18"/>
        <v>0</v>
      </c>
      <c r="K118" s="162"/>
      <c r="L118" s="335"/>
      <c r="M118" s="162">
        <f t="shared" si="19"/>
        <v>0</v>
      </c>
      <c r="N118" s="335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4"/>
        <v/>
      </c>
      <c r="C119" s="157">
        <f>IF(D93="","-",+C118+1)</f>
        <v>2028</v>
      </c>
      <c r="D119" s="158">
        <f>IF(F118+SUM(E$99:E118)=D$92,F118,D$92-SUM(E$99:E118))</f>
        <v>8734386</v>
      </c>
      <c r="E119" s="165">
        <f>IF(+J96&lt;F118,J96,D119)</f>
        <v>317731</v>
      </c>
      <c r="F119" s="163">
        <f t="shared" si="25"/>
        <v>8416655</v>
      </c>
      <c r="G119" s="163">
        <f t="shared" si="17"/>
        <v>8575520.5</v>
      </c>
      <c r="H119" s="167">
        <f t="shared" si="26"/>
        <v>1405557</v>
      </c>
      <c r="I119" s="317">
        <f t="shared" si="27"/>
        <v>1405557</v>
      </c>
      <c r="J119" s="162">
        <f t="shared" si="18"/>
        <v>0</v>
      </c>
      <c r="K119" s="162"/>
      <c r="L119" s="335"/>
      <c r="M119" s="162">
        <f t="shared" si="19"/>
        <v>0</v>
      </c>
      <c r="N119" s="335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4"/>
        <v/>
      </c>
      <c r="C120" s="157">
        <f>IF(D93="","-",+C119+1)</f>
        <v>2029</v>
      </c>
      <c r="D120" s="158">
        <f>IF(F119+SUM(E$99:E119)=D$92,F119,D$92-SUM(E$99:E119))</f>
        <v>8416655</v>
      </c>
      <c r="E120" s="165">
        <f>IF(+J96&lt;F119,J96,D120)</f>
        <v>317731</v>
      </c>
      <c r="F120" s="163">
        <f t="shared" si="25"/>
        <v>8098924</v>
      </c>
      <c r="G120" s="163">
        <f t="shared" si="17"/>
        <v>8257789.5</v>
      </c>
      <c r="H120" s="167">
        <f t="shared" si="26"/>
        <v>1365252</v>
      </c>
      <c r="I120" s="317">
        <f t="shared" si="27"/>
        <v>1365252</v>
      </c>
      <c r="J120" s="162">
        <f t="shared" si="18"/>
        <v>0</v>
      </c>
      <c r="K120" s="162"/>
      <c r="L120" s="335"/>
      <c r="M120" s="162">
        <f t="shared" si="19"/>
        <v>0</v>
      </c>
      <c r="N120" s="335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4"/>
        <v/>
      </c>
      <c r="C121" s="157">
        <f>IF(D93="","-",+C120+1)</f>
        <v>2030</v>
      </c>
      <c r="D121" s="158">
        <f>IF(F120+SUM(E$99:E120)=D$92,F120,D$92-SUM(E$99:E120))</f>
        <v>8098924</v>
      </c>
      <c r="E121" s="165">
        <f>IF(+J96&lt;F120,J96,D121)</f>
        <v>317731</v>
      </c>
      <c r="F121" s="163">
        <f t="shared" si="25"/>
        <v>7781193</v>
      </c>
      <c r="G121" s="163">
        <f t="shared" si="17"/>
        <v>7940058.5</v>
      </c>
      <c r="H121" s="167">
        <f t="shared" si="26"/>
        <v>1324947</v>
      </c>
      <c r="I121" s="317">
        <f t="shared" si="27"/>
        <v>1324947</v>
      </c>
      <c r="J121" s="162">
        <f t="shared" si="18"/>
        <v>0</v>
      </c>
      <c r="K121" s="162"/>
      <c r="L121" s="335"/>
      <c r="M121" s="162">
        <f t="shared" si="19"/>
        <v>0</v>
      </c>
      <c r="N121" s="335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4"/>
        <v/>
      </c>
      <c r="C122" s="157">
        <f>IF(D93="","-",+C121+1)</f>
        <v>2031</v>
      </c>
      <c r="D122" s="158">
        <f>IF(F121+SUM(E$99:E121)=D$92,F121,D$92-SUM(E$99:E121))</f>
        <v>7781193</v>
      </c>
      <c r="E122" s="165">
        <f>IF(+J96&lt;F121,J96,D122)</f>
        <v>317731</v>
      </c>
      <c r="F122" s="163">
        <f t="shared" si="25"/>
        <v>7463462</v>
      </c>
      <c r="G122" s="163">
        <f t="shared" si="17"/>
        <v>7622327.5</v>
      </c>
      <c r="H122" s="167">
        <f t="shared" si="26"/>
        <v>1284642</v>
      </c>
      <c r="I122" s="317">
        <f t="shared" si="27"/>
        <v>1284642</v>
      </c>
      <c r="J122" s="162">
        <f t="shared" si="18"/>
        <v>0</v>
      </c>
      <c r="K122" s="162"/>
      <c r="L122" s="335"/>
      <c r="M122" s="162">
        <f t="shared" si="19"/>
        <v>0</v>
      </c>
      <c r="N122" s="335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4"/>
        <v/>
      </c>
      <c r="C123" s="157">
        <f>IF(D93="","-",+C122+1)</f>
        <v>2032</v>
      </c>
      <c r="D123" s="158">
        <f>IF(F122+SUM(E$99:E122)=D$92,F122,D$92-SUM(E$99:E122))</f>
        <v>7463462</v>
      </c>
      <c r="E123" s="165">
        <f>IF(+J96&lt;F122,J96,D123)</f>
        <v>317731</v>
      </c>
      <c r="F123" s="163">
        <f t="shared" si="25"/>
        <v>7145731</v>
      </c>
      <c r="G123" s="163">
        <f t="shared" si="17"/>
        <v>7304596.5</v>
      </c>
      <c r="H123" s="167">
        <f t="shared" si="26"/>
        <v>1244337</v>
      </c>
      <c r="I123" s="317">
        <f t="shared" si="27"/>
        <v>1244337</v>
      </c>
      <c r="J123" s="162">
        <f t="shared" si="18"/>
        <v>0</v>
      </c>
      <c r="K123" s="162"/>
      <c r="L123" s="335"/>
      <c r="M123" s="162">
        <f t="shared" si="19"/>
        <v>0</v>
      </c>
      <c r="N123" s="335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4"/>
        <v/>
      </c>
      <c r="C124" s="157">
        <f>IF(D93="","-",+C123+1)</f>
        <v>2033</v>
      </c>
      <c r="D124" s="158">
        <f>IF(F123+SUM(E$99:E123)=D$92,F123,D$92-SUM(E$99:E123))</f>
        <v>7145731</v>
      </c>
      <c r="E124" s="165">
        <f>IF(+J96&lt;F123,J96,D124)</f>
        <v>317731</v>
      </c>
      <c r="F124" s="163">
        <f t="shared" si="25"/>
        <v>6828000</v>
      </c>
      <c r="G124" s="163">
        <f t="shared" si="17"/>
        <v>6986865.5</v>
      </c>
      <c r="H124" s="167">
        <f t="shared" si="26"/>
        <v>1204033</v>
      </c>
      <c r="I124" s="317">
        <f t="shared" si="27"/>
        <v>1204033</v>
      </c>
      <c r="J124" s="162">
        <f t="shared" si="18"/>
        <v>0</v>
      </c>
      <c r="K124" s="162"/>
      <c r="L124" s="335"/>
      <c r="M124" s="162">
        <f t="shared" si="19"/>
        <v>0</v>
      </c>
      <c r="N124" s="335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4"/>
        <v/>
      </c>
      <c r="C125" s="157">
        <f>IF(D93="","-",+C124+1)</f>
        <v>2034</v>
      </c>
      <c r="D125" s="158">
        <f>IF(F124+SUM(E$99:E124)=D$92,F124,D$92-SUM(E$99:E124))</f>
        <v>6828000</v>
      </c>
      <c r="E125" s="165">
        <f>IF(+J96&lt;F124,J96,D125)</f>
        <v>317731</v>
      </c>
      <c r="F125" s="163">
        <f t="shared" si="25"/>
        <v>6510269</v>
      </c>
      <c r="G125" s="163">
        <f t="shared" si="17"/>
        <v>6669134.5</v>
      </c>
      <c r="H125" s="167">
        <f t="shared" si="26"/>
        <v>1163728</v>
      </c>
      <c r="I125" s="317">
        <f t="shared" si="27"/>
        <v>1163728</v>
      </c>
      <c r="J125" s="162">
        <f t="shared" si="18"/>
        <v>0</v>
      </c>
      <c r="K125" s="162"/>
      <c r="L125" s="335"/>
      <c r="M125" s="162">
        <f t="shared" si="19"/>
        <v>0</v>
      </c>
      <c r="N125" s="335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4"/>
        <v/>
      </c>
      <c r="C126" s="157">
        <f>IF(D93="","-",+C125+1)</f>
        <v>2035</v>
      </c>
      <c r="D126" s="158">
        <f>IF(F125+SUM(E$99:E125)=D$92,F125,D$92-SUM(E$99:E125))</f>
        <v>6510269</v>
      </c>
      <c r="E126" s="165">
        <f>IF(+J96&lt;F125,J96,D126)</f>
        <v>317731</v>
      </c>
      <c r="F126" s="163">
        <f t="shared" si="25"/>
        <v>6192538</v>
      </c>
      <c r="G126" s="163">
        <f t="shared" si="17"/>
        <v>6351403.5</v>
      </c>
      <c r="H126" s="167">
        <f t="shared" si="26"/>
        <v>1123423</v>
      </c>
      <c r="I126" s="317">
        <f t="shared" si="27"/>
        <v>1123423</v>
      </c>
      <c r="J126" s="162">
        <f t="shared" si="18"/>
        <v>0</v>
      </c>
      <c r="K126" s="162"/>
      <c r="L126" s="335"/>
      <c r="M126" s="162">
        <f t="shared" si="19"/>
        <v>0</v>
      </c>
      <c r="N126" s="335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4"/>
        <v/>
      </c>
      <c r="C127" s="157">
        <f>IF(D93="","-",+C126+1)</f>
        <v>2036</v>
      </c>
      <c r="D127" s="158">
        <f>IF(F126+SUM(E$99:E126)=D$92,F126,D$92-SUM(E$99:E126))</f>
        <v>6192538</v>
      </c>
      <c r="E127" s="165">
        <f>IF(+J96&lt;F126,J96,D127)</f>
        <v>317731</v>
      </c>
      <c r="F127" s="163">
        <f t="shared" si="25"/>
        <v>5874807</v>
      </c>
      <c r="G127" s="163">
        <f t="shared" si="17"/>
        <v>6033672.5</v>
      </c>
      <c r="H127" s="167">
        <f t="shared" si="26"/>
        <v>1083118</v>
      </c>
      <c r="I127" s="317">
        <f t="shared" si="27"/>
        <v>1083118</v>
      </c>
      <c r="J127" s="162">
        <f t="shared" si="18"/>
        <v>0</v>
      </c>
      <c r="K127" s="162"/>
      <c r="L127" s="335"/>
      <c r="M127" s="162">
        <f t="shared" si="19"/>
        <v>0</v>
      </c>
      <c r="N127" s="335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4"/>
        <v/>
      </c>
      <c r="C128" s="157">
        <f>IF(D93="","-",+C127+1)</f>
        <v>2037</v>
      </c>
      <c r="D128" s="158">
        <f>IF(F127+SUM(E$99:E127)=D$92,F127,D$92-SUM(E$99:E127))</f>
        <v>5874807</v>
      </c>
      <c r="E128" s="165">
        <f>IF(+J96&lt;F127,J96,D128)</f>
        <v>317731</v>
      </c>
      <c r="F128" s="163">
        <f t="shared" si="25"/>
        <v>5557076</v>
      </c>
      <c r="G128" s="163">
        <f t="shared" si="17"/>
        <v>5715941.5</v>
      </c>
      <c r="H128" s="167">
        <f t="shared" si="26"/>
        <v>1042813</v>
      </c>
      <c r="I128" s="317">
        <f t="shared" si="27"/>
        <v>1042813</v>
      </c>
      <c r="J128" s="162">
        <f t="shared" si="18"/>
        <v>0</v>
      </c>
      <c r="K128" s="162"/>
      <c r="L128" s="335"/>
      <c r="M128" s="162">
        <f t="shared" si="19"/>
        <v>0</v>
      </c>
      <c r="N128" s="335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4"/>
        <v/>
      </c>
      <c r="C129" s="157">
        <f>IF(D93="","-",+C128+1)</f>
        <v>2038</v>
      </c>
      <c r="D129" s="158">
        <f>IF(F128+SUM(E$99:E128)=D$92,F128,D$92-SUM(E$99:E128))</f>
        <v>5557076</v>
      </c>
      <c r="E129" s="165">
        <f>IF(+J96&lt;F128,J96,D129)</f>
        <v>317731</v>
      </c>
      <c r="F129" s="163">
        <f t="shared" si="25"/>
        <v>5239345</v>
      </c>
      <c r="G129" s="163">
        <f t="shared" si="17"/>
        <v>5398210.5</v>
      </c>
      <c r="H129" s="167">
        <f t="shared" si="26"/>
        <v>1002508</v>
      </c>
      <c r="I129" s="317">
        <f t="shared" si="27"/>
        <v>1002508</v>
      </c>
      <c r="J129" s="162">
        <f t="shared" si="18"/>
        <v>0</v>
      </c>
      <c r="K129" s="162"/>
      <c r="L129" s="335"/>
      <c r="M129" s="162">
        <f t="shared" si="19"/>
        <v>0</v>
      </c>
      <c r="N129" s="335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4"/>
        <v/>
      </c>
      <c r="C130" s="157">
        <f>IF(D93="","-",+C129+1)</f>
        <v>2039</v>
      </c>
      <c r="D130" s="158">
        <f>IF(F129+SUM(E$99:E129)=D$92,F129,D$92-SUM(E$99:E129))</f>
        <v>5239345</v>
      </c>
      <c r="E130" s="165">
        <f>IF(+J96&lt;F129,J96,D130)</f>
        <v>317731</v>
      </c>
      <c r="F130" s="163">
        <f t="shared" si="25"/>
        <v>4921614</v>
      </c>
      <c r="G130" s="163">
        <f t="shared" si="17"/>
        <v>5080479.5</v>
      </c>
      <c r="H130" s="167">
        <f t="shared" si="26"/>
        <v>962203</v>
      </c>
      <c r="I130" s="317">
        <f t="shared" si="27"/>
        <v>962203</v>
      </c>
      <c r="J130" s="162">
        <f t="shared" si="18"/>
        <v>0</v>
      </c>
      <c r="K130" s="162"/>
      <c r="L130" s="335"/>
      <c r="M130" s="162">
        <f t="shared" si="19"/>
        <v>0</v>
      </c>
      <c r="N130" s="335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4"/>
        <v/>
      </c>
      <c r="C131" s="157">
        <f>IF(D93="","-",+C130+1)</f>
        <v>2040</v>
      </c>
      <c r="D131" s="158">
        <f>IF(F130+SUM(E$99:E130)=D$92,F130,D$92-SUM(E$99:E130))</f>
        <v>4921614</v>
      </c>
      <c r="E131" s="165">
        <f>IF(+J96&lt;F130,J96,D131)</f>
        <v>317731</v>
      </c>
      <c r="F131" s="163">
        <f t="shared" ref="F131:F154" si="28">+D131-E131</f>
        <v>4603883</v>
      </c>
      <c r="G131" s="163">
        <f t="shared" ref="G131:G154" si="29">+(F131+D131)/2</f>
        <v>4762748.5</v>
      </c>
      <c r="H131" s="167">
        <f t="shared" si="26"/>
        <v>921898</v>
      </c>
      <c r="I131" s="317">
        <f t="shared" si="27"/>
        <v>921898</v>
      </c>
      <c r="J131" s="162">
        <f t="shared" si="18"/>
        <v>0</v>
      </c>
      <c r="K131" s="162"/>
      <c r="L131" s="335"/>
      <c r="M131" s="162">
        <f t="shared" ref="M131:M154" si="30">IF(L131&lt;&gt;0,+H131-L131,0)</f>
        <v>0</v>
      </c>
      <c r="N131" s="335"/>
      <c r="O131" s="162">
        <f t="shared" ref="O131:O154" si="31">IF(N131&lt;&gt;0,+I131-N131,0)</f>
        <v>0</v>
      </c>
      <c r="P131" s="162">
        <f t="shared" ref="P131:P154" si="32">+O131-M131</f>
        <v>0</v>
      </c>
    </row>
    <row r="132" spans="2:16">
      <c r="B132" s="9" t="str">
        <f t="shared" si="24"/>
        <v/>
      </c>
      <c r="C132" s="157">
        <f>IF(D93="","-",+C131+1)</f>
        <v>2041</v>
      </c>
      <c r="D132" s="158">
        <f>IF(F131+SUM(E$99:E131)=D$92,F131,D$92-SUM(E$99:E131))</f>
        <v>4603883</v>
      </c>
      <c r="E132" s="165">
        <f>IF(+J96&lt;F131,J96,D132)</f>
        <v>317731</v>
      </c>
      <c r="F132" s="163">
        <f t="shared" si="28"/>
        <v>4286152</v>
      </c>
      <c r="G132" s="163">
        <f t="shared" si="29"/>
        <v>4445017.5</v>
      </c>
      <c r="H132" s="167">
        <f t="shared" si="26"/>
        <v>881593</v>
      </c>
      <c r="I132" s="317">
        <f t="shared" si="27"/>
        <v>881593</v>
      </c>
      <c r="J132" s="162">
        <f t="shared" ref="J132:J154" si="33">+I132-H132</f>
        <v>0</v>
      </c>
      <c r="K132" s="162"/>
      <c r="L132" s="335"/>
      <c r="M132" s="162">
        <f t="shared" si="30"/>
        <v>0</v>
      </c>
      <c r="N132" s="335"/>
      <c r="O132" s="162">
        <f t="shared" si="31"/>
        <v>0</v>
      </c>
      <c r="P132" s="162">
        <f t="shared" si="32"/>
        <v>0</v>
      </c>
    </row>
    <row r="133" spans="2:16">
      <c r="B133" s="9" t="str">
        <f t="shared" si="24"/>
        <v/>
      </c>
      <c r="C133" s="157">
        <f>IF(D93="","-",+C132+1)</f>
        <v>2042</v>
      </c>
      <c r="D133" s="158">
        <f>IF(F132+SUM(E$99:E132)=D$92,F132,D$92-SUM(E$99:E132))</f>
        <v>4286152</v>
      </c>
      <c r="E133" s="165">
        <f>IF(+J96&lt;F132,J96,D133)</f>
        <v>317731</v>
      </c>
      <c r="F133" s="163">
        <f t="shared" si="28"/>
        <v>3968421</v>
      </c>
      <c r="G133" s="163">
        <f t="shared" si="29"/>
        <v>4127286.5</v>
      </c>
      <c r="H133" s="167">
        <f t="shared" si="26"/>
        <v>841288</v>
      </c>
      <c r="I133" s="317">
        <f t="shared" si="27"/>
        <v>841288</v>
      </c>
      <c r="J133" s="162">
        <f t="shared" si="33"/>
        <v>0</v>
      </c>
      <c r="K133" s="162"/>
      <c r="L133" s="335"/>
      <c r="M133" s="162">
        <f t="shared" si="30"/>
        <v>0</v>
      </c>
      <c r="N133" s="335"/>
      <c r="O133" s="162">
        <f t="shared" si="31"/>
        <v>0</v>
      </c>
      <c r="P133" s="162">
        <f t="shared" si="32"/>
        <v>0</v>
      </c>
    </row>
    <row r="134" spans="2:16">
      <c r="B134" s="9" t="str">
        <f t="shared" si="24"/>
        <v/>
      </c>
      <c r="C134" s="157">
        <f>IF(D93="","-",+C133+1)</f>
        <v>2043</v>
      </c>
      <c r="D134" s="158">
        <f>IF(F133+SUM(E$99:E133)=D$92,F133,D$92-SUM(E$99:E133))</f>
        <v>3968421</v>
      </c>
      <c r="E134" s="165">
        <f>IF(+J96&lt;F133,J96,D134)</f>
        <v>317731</v>
      </c>
      <c r="F134" s="163">
        <f t="shared" si="28"/>
        <v>3650690</v>
      </c>
      <c r="G134" s="163">
        <f t="shared" si="29"/>
        <v>3809555.5</v>
      </c>
      <c r="H134" s="167">
        <f t="shared" si="26"/>
        <v>800983</v>
      </c>
      <c r="I134" s="317">
        <f t="shared" si="27"/>
        <v>800983</v>
      </c>
      <c r="J134" s="162">
        <f t="shared" si="33"/>
        <v>0</v>
      </c>
      <c r="K134" s="162"/>
      <c r="L134" s="335"/>
      <c r="M134" s="162">
        <f t="shared" si="30"/>
        <v>0</v>
      </c>
      <c r="N134" s="335"/>
      <c r="O134" s="162">
        <f t="shared" si="31"/>
        <v>0</v>
      </c>
      <c r="P134" s="162">
        <f t="shared" si="32"/>
        <v>0</v>
      </c>
    </row>
    <row r="135" spans="2:16">
      <c r="B135" s="9" t="str">
        <f t="shared" si="24"/>
        <v/>
      </c>
      <c r="C135" s="157">
        <f>IF(D93="","-",+C134+1)</f>
        <v>2044</v>
      </c>
      <c r="D135" s="158">
        <f>IF(F134+SUM(E$99:E134)=D$92,F134,D$92-SUM(E$99:E134))</f>
        <v>3650690</v>
      </c>
      <c r="E135" s="165">
        <f>IF(+J96&lt;F134,J96,D135)</f>
        <v>317731</v>
      </c>
      <c r="F135" s="163">
        <f t="shared" si="28"/>
        <v>3332959</v>
      </c>
      <c r="G135" s="163">
        <f t="shared" si="29"/>
        <v>3491824.5</v>
      </c>
      <c r="H135" s="167">
        <f t="shared" si="26"/>
        <v>760678</v>
      </c>
      <c r="I135" s="317">
        <f t="shared" si="27"/>
        <v>760678</v>
      </c>
      <c r="J135" s="162">
        <f t="shared" si="33"/>
        <v>0</v>
      </c>
      <c r="K135" s="162"/>
      <c r="L135" s="335"/>
      <c r="M135" s="162">
        <f t="shared" si="30"/>
        <v>0</v>
      </c>
      <c r="N135" s="335"/>
      <c r="O135" s="162">
        <f t="shared" si="31"/>
        <v>0</v>
      </c>
      <c r="P135" s="162">
        <f t="shared" si="32"/>
        <v>0</v>
      </c>
    </row>
    <row r="136" spans="2:16">
      <c r="B136" s="9" t="str">
        <f t="shared" si="24"/>
        <v/>
      </c>
      <c r="C136" s="157">
        <f>IF(D93="","-",+C135+1)</f>
        <v>2045</v>
      </c>
      <c r="D136" s="158">
        <f>IF(F135+SUM(E$99:E135)=D$92,F135,D$92-SUM(E$99:E135))</f>
        <v>3332959</v>
      </c>
      <c r="E136" s="165">
        <f>IF(+J96&lt;F135,J96,D136)</f>
        <v>317731</v>
      </c>
      <c r="F136" s="163">
        <f t="shared" si="28"/>
        <v>3015228</v>
      </c>
      <c r="G136" s="163">
        <f t="shared" si="29"/>
        <v>3174093.5</v>
      </c>
      <c r="H136" s="167">
        <f t="shared" si="26"/>
        <v>720373</v>
      </c>
      <c r="I136" s="317">
        <f t="shared" si="27"/>
        <v>720373</v>
      </c>
      <c r="J136" s="162">
        <f t="shared" si="33"/>
        <v>0</v>
      </c>
      <c r="K136" s="162"/>
      <c r="L136" s="335"/>
      <c r="M136" s="162">
        <f t="shared" si="30"/>
        <v>0</v>
      </c>
      <c r="N136" s="335"/>
      <c r="O136" s="162">
        <f t="shared" si="31"/>
        <v>0</v>
      </c>
      <c r="P136" s="162">
        <f t="shared" si="32"/>
        <v>0</v>
      </c>
    </row>
    <row r="137" spans="2:16">
      <c r="B137" s="9" t="str">
        <f t="shared" si="24"/>
        <v/>
      </c>
      <c r="C137" s="157">
        <f>IF(D93="","-",+C136+1)</f>
        <v>2046</v>
      </c>
      <c r="D137" s="158">
        <f>IF(F136+SUM(E$99:E136)=D$92,F136,D$92-SUM(E$99:E136))</f>
        <v>3015228</v>
      </c>
      <c r="E137" s="165">
        <f>IF(+J96&lt;F136,J96,D137)</f>
        <v>317731</v>
      </c>
      <c r="F137" s="163">
        <f t="shared" si="28"/>
        <v>2697497</v>
      </c>
      <c r="G137" s="163">
        <f t="shared" si="29"/>
        <v>2856362.5</v>
      </c>
      <c r="H137" s="167">
        <f t="shared" si="26"/>
        <v>680068</v>
      </c>
      <c r="I137" s="317">
        <f t="shared" si="27"/>
        <v>680068</v>
      </c>
      <c r="J137" s="162">
        <f t="shared" si="33"/>
        <v>0</v>
      </c>
      <c r="K137" s="162"/>
      <c r="L137" s="335"/>
      <c r="M137" s="162">
        <f t="shared" si="30"/>
        <v>0</v>
      </c>
      <c r="N137" s="335"/>
      <c r="O137" s="162">
        <f t="shared" si="31"/>
        <v>0</v>
      </c>
      <c r="P137" s="162">
        <f t="shared" si="32"/>
        <v>0</v>
      </c>
    </row>
    <row r="138" spans="2:16">
      <c r="B138" s="9" t="str">
        <f t="shared" si="24"/>
        <v/>
      </c>
      <c r="C138" s="157">
        <f>IF(D93="","-",+C137+1)</f>
        <v>2047</v>
      </c>
      <c r="D138" s="158">
        <f>IF(F137+SUM(E$99:E137)=D$92,F137,D$92-SUM(E$99:E137))</f>
        <v>2697497</v>
      </c>
      <c r="E138" s="165">
        <f>IF(+J96&lt;F137,J96,D138)</f>
        <v>317731</v>
      </c>
      <c r="F138" s="163">
        <f t="shared" si="28"/>
        <v>2379766</v>
      </c>
      <c r="G138" s="163">
        <f t="shared" si="29"/>
        <v>2538631.5</v>
      </c>
      <c r="H138" s="167">
        <f t="shared" si="26"/>
        <v>639763</v>
      </c>
      <c r="I138" s="317">
        <f t="shared" si="27"/>
        <v>639763</v>
      </c>
      <c r="J138" s="162">
        <f t="shared" si="33"/>
        <v>0</v>
      </c>
      <c r="K138" s="162"/>
      <c r="L138" s="335"/>
      <c r="M138" s="162">
        <f t="shared" si="30"/>
        <v>0</v>
      </c>
      <c r="N138" s="335"/>
      <c r="O138" s="162">
        <f t="shared" si="31"/>
        <v>0</v>
      </c>
      <c r="P138" s="162">
        <f t="shared" si="32"/>
        <v>0</v>
      </c>
    </row>
    <row r="139" spans="2:16">
      <c r="B139" s="9" t="str">
        <f t="shared" si="24"/>
        <v/>
      </c>
      <c r="C139" s="157">
        <f>IF(D93="","-",+C138+1)</f>
        <v>2048</v>
      </c>
      <c r="D139" s="158">
        <f>IF(F138+SUM(E$99:E138)=D$92,F138,D$92-SUM(E$99:E138))</f>
        <v>2379766</v>
      </c>
      <c r="E139" s="165">
        <f>IF(+J96&lt;F138,J96,D139)</f>
        <v>317731</v>
      </c>
      <c r="F139" s="163">
        <f t="shared" si="28"/>
        <v>2062035</v>
      </c>
      <c r="G139" s="163">
        <f t="shared" si="29"/>
        <v>2220900.5</v>
      </c>
      <c r="H139" s="167">
        <f t="shared" si="26"/>
        <v>599458</v>
      </c>
      <c r="I139" s="317">
        <f t="shared" si="27"/>
        <v>599458</v>
      </c>
      <c r="J139" s="162">
        <f t="shared" si="33"/>
        <v>0</v>
      </c>
      <c r="K139" s="162"/>
      <c r="L139" s="335"/>
      <c r="M139" s="162">
        <f t="shared" si="30"/>
        <v>0</v>
      </c>
      <c r="N139" s="335"/>
      <c r="O139" s="162">
        <f t="shared" si="31"/>
        <v>0</v>
      </c>
      <c r="P139" s="162">
        <f t="shared" si="32"/>
        <v>0</v>
      </c>
    </row>
    <row r="140" spans="2:16">
      <c r="B140" s="9" t="str">
        <f t="shared" si="24"/>
        <v/>
      </c>
      <c r="C140" s="157">
        <f>IF(D93="","-",+C139+1)</f>
        <v>2049</v>
      </c>
      <c r="D140" s="158">
        <f>IF(F139+SUM(E$99:E139)=D$92,F139,D$92-SUM(E$99:E139))</f>
        <v>2062035</v>
      </c>
      <c r="E140" s="165">
        <f>IF(+J96&lt;F139,J96,D140)</f>
        <v>317731</v>
      </c>
      <c r="F140" s="163">
        <f t="shared" si="28"/>
        <v>1744304</v>
      </c>
      <c r="G140" s="163">
        <f t="shared" si="29"/>
        <v>1903169.5</v>
      </c>
      <c r="H140" s="167">
        <f t="shared" si="26"/>
        <v>559153</v>
      </c>
      <c r="I140" s="317">
        <f t="shared" si="27"/>
        <v>559153</v>
      </c>
      <c r="J140" s="162">
        <f t="shared" si="33"/>
        <v>0</v>
      </c>
      <c r="K140" s="162"/>
      <c r="L140" s="335"/>
      <c r="M140" s="162">
        <f t="shared" si="30"/>
        <v>0</v>
      </c>
      <c r="N140" s="335"/>
      <c r="O140" s="162">
        <f t="shared" si="31"/>
        <v>0</v>
      </c>
      <c r="P140" s="162">
        <f t="shared" si="32"/>
        <v>0</v>
      </c>
    </row>
    <row r="141" spans="2:16">
      <c r="B141" s="9" t="str">
        <f t="shared" si="24"/>
        <v/>
      </c>
      <c r="C141" s="157">
        <f>IF(D93="","-",+C140+1)</f>
        <v>2050</v>
      </c>
      <c r="D141" s="158">
        <f>IF(F140+SUM(E$99:E140)=D$92,F140,D$92-SUM(E$99:E140))</f>
        <v>1744304</v>
      </c>
      <c r="E141" s="165">
        <f>IF(+J96&lt;F140,J96,D141)</f>
        <v>317731</v>
      </c>
      <c r="F141" s="163">
        <f t="shared" si="28"/>
        <v>1426573</v>
      </c>
      <c r="G141" s="163">
        <f t="shared" si="29"/>
        <v>1585438.5</v>
      </c>
      <c r="H141" s="167">
        <f t="shared" si="26"/>
        <v>518848</v>
      </c>
      <c r="I141" s="317">
        <f t="shared" si="27"/>
        <v>518848</v>
      </c>
      <c r="J141" s="162">
        <f t="shared" si="33"/>
        <v>0</v>
      </c>
      <c r="K141" s="162"/>
      <c r="L141" s="335"/>
      <c r="M141" s="162">
        <f t="shared" si="30"/>
        <v>0</v>
      </c>
      <c r="N141" s="335"/>
      <c r="O141" s="162">
        <f t="shared" si="31"/>
        <v>0</v>
      </c>
      <c r="P141" s="162">
        <f t="shared" si="32"/>
        <v>0</v>
      </c>
    </row>
    <row r="142" spans="2:16">
      <c r="B142" s="9" t="str">
        <f t="shared" si="24"/>
        <v/>
      </c>
      <c r="C142" s="157">
        <f>IF(D93="","-",+C141+1)</f>
        <v>2051</v>
      </c>
      <c r="D142" s="158">
        <f>IF(F141+SUM(E$99:E141)=D$92,F141,D$92-SUM(E$99:E141))</f>
        <v>1426573</v>
      </c>
      <c r="E142" s="165">
        <f>IF(+J96&lt;F141,J96,D142)</f>
        <v>317731</v>
      </c>
      <c r="F142" s="163">
        <f t="shared" si="28"/>
        <v>1108842</v>
      </c>
      <c r="G142" s="163">
        <f t="shared" si="29"/>
        <v>1267707.5</v>
      </c>
      <c r="H142" s="167">
        <f t="shared" si="26"/>
        <v>478543</v>
      </c>
      <c r="I142" s="317">
        <f t="shared" si="27"/>
        <v>478543</v>
      </c>
      <c r="J142" s="162">
        <f t="shared" si="33"/>
        <v>0</v>
      </c>
      <c r="K142" s="162"/>
      <c r="L142" s="335"/>
      <c r="M142" s="162">
        <f t="shared" si="30"/>
        <v>0</v>
      </c>
      <c r="N142" s="335"/>
      <c r="O142" s="162">
        <f t="shared" si="31"/>
        <v>0</v>
      </c>
      <c r="P142" s="162">
        <f t="shared" si="32"/>
        <v>0</v>
      </c>
    </row>
    <row r="143" spans="2:16">
      <c r="B143" s="9" t="str">
        <f t="shared" si="24"/>
        <v/>
      </c>
      <c r="C143" s="157">
        <f>IF(D93="","-",+C142+1)</f>
        <v>2052</v>
      </c>
      <c r="D143" s="158">
        <f>IF(F142+SUM(E$99:E142)=D$92,F142,D$92-SUM(E$99:E142))</f>
        <v>1108842</v>
      </c>
      <c r="E143" s="165">
        <f>IF(+J96&lt;F142,J96,D143)</f>
        <v>317731</v>
      </c>
      <c r="F143" s="163">
        <f t="shared" si="28"/>
        <v>791111</v>
      </c>
      <c r="G143" s="163">
        <f t="shared" si="29"/>
        <v>949976.5</v>
      </c>
      <c r="H143" s="167">
        <f t="shared" si="26"/>
        <v>438238</v>
      </c>
      <c r="I143" s="317">
        <f t="shared" si="27"/>
        <v>438238</v>
      </c>
      <c r="J143" s="162">
        <f t="shared" si="33"/>
        <v>0</v>
      </c>
      <c r="K143" s="162"/>
      <c r="L143" s="335"/>
      <c r="M143" s="162">
        <f t="shared" si="30"/>
        <v>0</v>
      </c>
      <c r="N143" s="335"/>
      <c r="O143" s="162">
        <f t="shared" si="31"/>
        <v>0</v>
      </c>
      <c r="P143" s="162">
        <f t="shared" si="32"/>
        <v>0</v>
      </c>
    </row>
    <row r="144" spans="2:16">
      <c r="B144" s="9" t="str">
        <f t="shared" si="24"/>
        <v/>
      </c>
      <c r="C144" s="157">
        <f>IF(D93="","-",+C143+1)</f>
        <v>2053</v>
      </c>
      <c r="D144" s="158">
        <f>IF(F143+SUM(E$99:E143)=D$92,F143,D$92-SUM(E$99:E143))</f>
        <v>791111</v>
      </c>
      <c r="E144" s="165">
        <f>IF(+J96&lt;F143,J96,D144)</f>
        <v>317731</v>
      </c>
      <c r="F144" s="163">
        <f t="shared" si="28"/>
        <v>473380</v>
      </c>
      <c r="G144" s="163">
        <f t="shared" si="29"/>
        <v>632245.5</v>
      </c>
      <c r="H144" s="167">
        <f t="shared" si="26"/>
        <v>397933</v>
      </c>
      <c r="I144" s="317">
        <f t="shared" si="27"/>
        <v>397933</v>
      </c>
      <c r="J144" s="162">
        <f t="shared" si="33"/>
        <v>0</v>
      </c>
      <c r="K144" s="162"/>
      <c r="L144" s="335"/>
      <c r="M144" s="162">
        <f t="shared" si="30"/>
        <v>0</v>
      </c>
      <c r="N144" s="335"/>
      <c r="O144" s="162">
        <f t="shared" si="31"/>
        <v>0</v>
      </c>
      <c r="P144" s="162">
        <f t="shared" si="32"/>
        <v>0</v>
      </c>
    </row>
    <row r="145" spans="2:16">
      <c r="B145" s="9" t="str">
        <f t="shared" si="24"/>
        <v/>
      </c>
      <c r="C145" s="157">
        <f>IF(D93="","-",+C144+1)</f>
        <v>2054</v>
      </c>
      <c r="D145" s="158">
        <f>IF(F144+SUM(E$99:E144)=D$92,F144,D$92-SUM(E$99:E144))</f>
        <v>473380</v>
      </c>
      <c r="E145" s="165">
        <f>IF(+J96&lt;F144,J96,D145)</f>
        <v>317731</v>
      </c>
      <c r="F145" s="163">
        <f t="shared" si="28"/>
        <v>155649</v>
      </c>
      <c r="G145" s="163">
        <f t="shared" si="29"/>
        <v>314514.5</v>
      </c>
      <c r="H145" s="167">
        <f t="shared" si="26"/>
        <v>357628</v>
      </c>
      <c r="I145" s="317">
        <f t="shared" si="27"/>
        <v>357628</v>
      </c>
      <c r="J145" s="162">
        <f t="shared" si="33"/>
        <v>0</v>
      </c>
      <c r="K145" s="162"/>
      <c r="L145" s="335"/>
      <c r="M145" s="162">
        <f t="shared" si="30"/>
        <v>0</v>
      </c>
      <c r="N145" s="335"/>
      <c r="O145" s="162">
        <f t="shared" si="31"/>
        <v>0</v>
      </c>
      <c r="P145" s="162">
        <f t="shared" si="32"/>
        <v>0</v>
      </c>
    </row>
    <row r="146" spans="2:16">
      <c r="B146" s="9" t="str">
        <f t="shared" si="24"/>
        <v/>
      </c>
      <c r="C146" s="157">
        <f>IF(D93="","-",+C145+1)</f>
        <v>2055</v>
      </c>
      <c r="D146" s="158">
        <f>IF(F145+SUM(E$99:E145)=D$92,F145,D$92-SUM(E$99:E145))</f>
        <v>155649</v>
      </c>
      <c r="E146" s="165">
        <f>IF(+J96&lt;F145,J96,D146)</f>
        <v>155649</v>
      </c>
      <c r="F146" s="163">
        <f t="shared" si="28"/>
        <v>0</v>
      </c>
      <c r="G146" s="163">
        <f t="shared" si="29"/>
        <v>77824.5</v>
      </c>
      <c r="H146" s="167">
        <f t="shared" si="26"/>
        <v>165521</v>
      </c>
      <c r="I146" s="317">
        <f t="shared" si="27"/>
        <v>165521</v>
      </c>
      <c r="J146" s="162">
        <f t="shared" si="33"/>
        <v>0</v>
      </c>
      <c r="K146" s="162"/>
      <c r="L146" s="335"/>
      <c r="M146" s="162">
        <f t="shared" si="30"/>
        <v>0</v>
      </c>
      <c r="N146" s="335"/>
      <c r="O146" s="162">
        <f t="shared" si="31"/>
        <v>0</v>
      </c>
      <c r="P146" s="162">
        <f t="shared" si="32"/>
        <v>0</v>
      </c>
    </row>
    <row r="147" spans="2:16">
      <c r="B147" s="9" t="str">
        <f t="shared" si="24"/>
        <v/>
      </c>
      <c r="C147" s="157">
        <f>IF(D93="","-",+C146+1)</f>
        <v>2056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8"/>
        <v>0</v>
      </c>
      <c r="G147" s="163">
        <f t="shared" si="29"/>
        <v>0</v>
      </c>
      <c r="H147" s="167">
        <f t="shared" si="26"/>
        <v>0</v>
      </c>
      <c r="I147" s="317">
        <f t="shared" si="27"/>
        <v>0</v>
      </c>
      <c r="J147" s="162">
        <f t="shared" si="33"/>
        <v>0</v>
      </c>
      <c r="K147" s="162"/>
      <c r="L147" s="335"/>
      <c r="M147" s="162">
        <f t="shared" si="30"/>
        <v>0</v>
      </c>
      <c r="N147" s="335"/>
      <c r="O147" s="162">
        <f t="shared" si="31"/>
        <v>0</v>
      </c>
      <c r="P147" s="162">
        <f t="shared" si="32"/>
        <v>0</v>
      </c>
    </row>
    <row r="148" spans="2:16">
      <c r="B148" s="9" t="str">
        <f t="shared" si="24"/>
        <v/>
      </c>
      <c r="C148" s="157">
        <f>IF(D93="","-",+C147+1)</f>
        <v>2057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8"/>
        <v>0</v>
      </c>
      <c r="G148" s="163">
        <f t="shared" si="29"/>
        <v>0</v>
      </c>
      <c r="H148" s="167">
        <f t="shared" si="26"/>
        <v>0</v>
      </c>
      <c r="I148" s="317">
        <f t="shared" si="27"/>
        <v>0</v>
      </c>
      <c r="J148" s="162">
        <f t="shared" si="33"/>
        <v>0</v>
      </c>
      <c r="K148" s="162"/>
      <c r="L148" s="335"/>
      <c r="M148" s="162">
        <f t="shared" si="30"/>
        <v>0</v>
      </c>
      <c r="N148" s="335"/>
      <c r="O148" s="162">
        <f t="shared" si="31"/>
        <v>0</v>
      </c>
      <c r="P148" s="162">
        <f t="shared" si="32"/>
        <v>0</v>
      </c>
    </row>
    <row r="149" spans="2:16">
      <c r="B149" s="9" t="str">
        <f t="shared" si="24"/>
        <v/>
      </c>
      <c r="C149" s="157">
        <f>IF(D93="","-",+C148+1)</f>
        <v>2058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8"/>
        <v>0</v>
      </c>
      <c r="G149" s="163">
        <f t="shared" si="29"/>
        <v>0</v>
      </c>
      <c r="H149" s="167">
        <f t="shared" si="26"/>
        <v>0</v>
      </c>
      <c r="I149" s="317">
        <f t="shared" si="27"/>
        <v>0</v>
      </c>
      <c r="J149" s="162">
        <f t="shared" si="33"/>
        <v>0</v>
      </c>
      <c r="K149" s="162"/>
      <c r="L149" s="335"/>
      <c r="M149" s="162">
        <f t="shared" si="30"/>
        <v>0</v>
      </c>
      <c r="N149" s="335"/>
      <c r="O149" s="162">
        <f t="shared" si="31"/>
        <v>0</v>
      </c>
      <c r="P149" s="162">
        <f t="shared" si="32"/>
        <v>0</v>
      </c>
    </row>
    <row r="150" spans="2:16">
      <c r="B150" s="9" t="str">
        <f t="shared" si="24"/>
        <v/>
      </c>
      <c r="C150" s="157">
        <f>IF(D93="","-",+C149+1)</f>
        <v>2059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8"/>
        <v>0</v>
      </c>
      <c r="G150" s="163">
        <f t="shared" si="29"/>
        <v>0</v>
      </c>
      <c r="H150" s="167">
        <f t="shared" si="26"/>
        <v>0</v>
      </c>
      <c r="I150" s="317">
        <f t="shared" si="27"/>
        <v>0</v>
      </c>
      <c r="J150" s="162">
        <f t="shared" si="33"/>
        <v>0</v>
      </c>
      <c r="K150" s="162"/>
      <c r="L150" s="335"/>
      <c r="M150" s="162">
        <f t="shared" si="30"/>
        <v>0</v>
      </c>
      <c r="N150" s="335"/>
      <c r="O150" s="162">
        <f t="shared" si="31"/>
        <v>0</v>
      </c>
      <c r="P150" s="162">
        <f t="shared" si="32"/>
        <v>0</v>
      </c>
    </row>
    <row r="151" spans="2:16">
      <c r="B151" s="9" t="str">
        <f t="shared" si="24"/>
        <v/>
      </c>
      <c r="C151" s="157">
        <f>IF(D93="","-",+C150+1)</f>
        <v>2060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8"/>
        <v>0</v>
      </c>
      <c r="G151" s="163">
        <f t="shared" si="29"/>
        <v>0</v>
      </c>
      <c r="H151" s="167">
        <f t="shared" si="26"/>
        <v>0</v>
      </c>
      <c r="I151" s="317">
        <f t="shared" si="27"/>
        <v>0</v>
      </c>
      <c r="J151" s="162">
        <f t="shared" si="33"/>
        <v>0</v>
      </c>
      <c r="K151" s="162"/>
      <c r="L151" s="335"/>
      <c r="M151" s="162">
        <f t="shared" si="30"/>
        <v>0</v>
      </c>
      <c r="N151" s="335"/>
      <c r="O151" s="162">
        <f t="shared" si="31"/>
        <v>0</v>
      </c>
      <c r="P151" s="162">
        <f t="shared" si="32"/>
        <v>0</v>
      </c>
    </row>
    <row r="152" spans="2:16">
      <c r="B152" s="9" t="str">
        <f t="shared" si="24"/>
        <v/>
      </c>
      <c r="C152" s="157">
        <f>IF(D93="","-",+C151+1)</f>
        <v>2061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8"/>
        <v>0</v>
      </c>
      <c r="G152" s="163">
        <f t="shared" si="29"/>
        <v>0</v>
      </c>
      <c r="H152" s="167">
        <f t="shared" si="26"/>
        <v>0</v>
      </c>
      <c r="I152" s="317">
        <f t="shared" si="27"/>
        <v>0</v>
      </c>
      <c r="J152" s="162">
        <f t="shared" si="33"/>
        <v>0</v>
      </c>
      <c r="K152" s="162"/>
      <c r="L152" s="335"/>
      <c r="M152" s="162">
        <f t="shared" si="30"/>
        <v>0</v>
      </c>
      <c r="N152" s="335"/>
      <c r="O152" s="162">
        <f t="shared" si="31"/>
        <v>0</v>
      </c>
      <c r="P152" s="162">
        <f t="shared" si="32"/>
        <v>0</v>
      </c>
    </row>
    <row r="153" spans="2:16">
      <c r="B153" s="9" t="str">
        <f t="shared" si="24"/>
        <v/>
      </c>
      <c r="C153" s="157">
        <f>IF(D93="","-",+C152+1)</f>
        <v>2062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8"/>
        <v>0</v>
      </c>
      <c r="G153" s="163">
        <f t="shared" si="29"/>
        <v>0</v>
      </c>
      <c r="H153" s="167">
        <f t="shared" si="26"/>
        <v>0</v>
      </c>
      <c r="I153" s="317">
        <f t="shared" si="27"/>
        <v>0</v>
      </c>
      <c r="J153" s="162">
        <f t="shared" si="33"/>
        <v>0</v>
      </c>
      <c r="K153" s="162"/>
      <c r="L153" s="335"/>
      <c r="M153" s="162">
        <f t="shared" si="30"/>
        <v>0</v>
      </c>
      <c r="N153" s="335"/>
      <c r="O153" s="162">
        <f t="shared" si="31"/>
        <v>0</v>
      </c>
      <c r="P153" s="162">
        <f t="shared" si="32"/>
        <v>0</v>
      </c>
    </row>
    <row r="154" spans="2:16" ht="13.5" thickBot="1">
      <c r="B154" s="9" t="str">
        <f t="shared" si="24"/>
        <v/>
      </c>
      <c r="C154" s="168">
        <f>IF(D93="","-",+C153+1)</f>
        <v>2063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8"/>
        <v>0</v>
      </c>
      <c r="G154" s="169">
        <f t="shared" si="29"/>
        <v>0</v>
      </c>
      <c r="H154" s="171">
        <f t="shared" si="26"/>
        <v>0</v>
      </c>
      <c r="I154" s="318">
        <f t="shared" si="27"/>
        <v>0</v>
      </c>
      <c r="J154" s="173">
        <f t="shared" si="33"/>
        <v>0</v>
      </c>
      <c r="K154" s="162"/>
      <c r="L154" s="336"/>
      <c r="M154" s="173">
        <f t="shared" si="30"/>
        <v>0</v>
      </c>
      <c r="N154" s="336"/>
      <c r="O154" s="173">
        <f t="shared" si="31"/>
        <v>0</v>
      </c>
      <c r="P154" s="173">
        <f t="shared" si="32"/>
        <v>0</v>
      </c>
    </row>
    <row r="155" spans="2:16">
      <c r="C155" s="158" t="s">
        <v>72</v>
      </c>
      <c r="D155" s="115"/>
      <c r="E155" s="115">
        <f>SUM(E99:E154)</f>
        <v>14615636</v>
      </c>
      <c r="F155" s="115"/>
      <c r="G155" s="115"/>
      <c r="H155" s="115">
        <f>SUM(H99:H154)</f>
        <v>60936137</v>
      </c>
      <c r="I155" s="115">
        <f>SUM(I99:I154)</f>
        <v>60936137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95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102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73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74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52" priority="1" stopIfTrue="1" operator="equal">
      <formula>$I$10</formula>
    </cfRule>
  </conditionalFormatting>
  <conditionalFormatting sqref="C99:C154">
    <cfRule type="cellIs" dxfId="51" priority="2" stopIfTrue="1" operator="equal">
      <formula>$J$92</formula>
    </cfRule>
  </conditionalFormatting>
  <pageMargins left="0.5" right="0.25" top="1" bottom="0.25" header="0.25" footer="0.5"/>
  <pageSetup scale="47" fitToHeight="0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P162"/>
  <sheetViews>
    <sheetView view="pageBreakPreview" zoomScale="75" zoomScaleNormal="10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5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42836.084122474029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42836.084122474029</v>
      </c>
      <c r="O6" s="1"/>
      <c r="P6" s="1"/>
    </row>
    <row r="7" spans="1:16" ht="13.5" thickBot="1">
      <c r="C7" s="127" t="s">
        <v>41</v>
      </c>
      <c r="D7" s="343" t="s">
        <v>198</v>
      </c>
      <c r="E7" s="18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78</v>
      </c>
      <c r="E9" s="428" t="s">
        <v>305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f>387742</f>
        <v>387742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2006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5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9693.5499999999993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2006</v>
      </c>
      <c r="D17" s="366">
        <v>387742</v>
      </c>
      <c r="E17" s="367">
        <v>3877</v>
      </c>
      <c r="F17" s="366">
        <v>383865</v>
      </c>
      <c r="G17" s="367">
        <v>0</v>
      </c>
      <c r="H17" s="370">
        <v>0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/>
      <c r="C18" s="157">
        <f>IF(D11="","-",+C17+1)</f>
        <v>2007</v>
      </c>
      <c r="D18" s="371">
        <v>383865</v>
      </c>
      <c r="E18" s="368">
        <v>7755</v>
      </c>
      <c r="F18" s="371">
        <v>376110</v>
      </c>
      <c r="G18" s="371">
        <v>59847</v>
      </c>
      <c r="H18" s="371">
        <v>59847</v>
      </c>
      <c r="I18" s="160">
        <f t="shared" si="0"/>
        <v>0</v>
      </c>
      <c r="J18" s="160"/>
      <c r="K18" s="338">
        <v>59847</v>
      </c>
      <c r="L18" s="162">
        <f t="shared" si="1"/>
        <v>0</v>
      </c>
      <c r="M18" s="338">
        <v>59847</v>
      </c>
      <c r="N18" s="162">
        <f t="shared" si="2"/>
        <v>0</v>
      </c>
      <c r="O18" s="162">
        <f t="shared" si="3"/>
        <v>0</v>
      </c>
      <c r="P18" s="4"/>
    </row>
    <row r="19" spans="2:16">
      <c r="B19" s="9"/>
      <c r="C19" s="157">
        <f>IF(D11="","-",+C18+1)</f>
        <v>2008</v>
      </c>
      <c r="D19" s="371">
        <v>376557</v>
      </c>
      <c r="E19" s="372">
        <v>7457</v>
      </c>
      <c r="F19" s="371">
        <v>369100</v>
      </c>
      <c r="G19" s="371">
        <v>62208</v>
      </c>
      <c r="H19" s="371">
        <v>62208</v>
      </c>
      <c r="I19" s="160">
        <f t="shared" si="0"/>
        <v>0</v>
      </c>
      <c r="J19" s="160"/>
      <c r="K19" s="338">
        <v>62208</v>
      </c>
      <c r="L19" s="162">
        <f t="shared" si="1"/>
        <v>0</v>
      </c>
      <c r="M19" s="338">
        <v>62208</v>
      </c>
      <c r="N19" s="162">
        <f t="shared" si="2"/>
        <v>0</v>
      </c>
      <c r="O19" s="162">
        <f t="shared" si="3"/>
        <v>0</v>
      </c>
      <c r="P19" s="4"/>
    </row>
    <row r="20" spans="2:16">
      <c r="B20" s="9"/>
      <c r="C20" s="157">
        <f>IF(D11="","-",+C19+1)</f>
        <v>2009</v>
      </c>
      <c r="D20" s="371">
        <v>368843</v>
      </c>
      <c r="E20" s="372">
        <v>7316</v>
      </c>
      <c r="F20" s="371">
        <v>361527</v>
      </c>
      <c r="G20" s="371">
        <v>62704</v>
      </c>
      <c r="H20" s="371">
        <v>62704</v>
      </c>
      <c r="I20" s="160">
        <f t="shared" si="0"/>
        <v>0</v>
      </c>
      <c r="J20" s="160"/>
      <c r="K20" s="338">
        <v>62704</v>
      </c>
      <c r="L20" s="162">
        <f t="shared" si="1"/>
        <v>0</v>
      </c>
      <c r="M20" s="338">
        <v>62704</v>
      </c>
      <c r="N20" s="162">
        <f t="shared" si="2"/>
        <v>0</v>
      </c>
      <c r="O20" s="162">
        <f t="shared" si="3"/>
        <v>0</v>
      </c>
      <c r="P20" s="4"/>
    </row>
    <row r="21" spans="2:16">
      <c r="B21" s="9"/>
      <c r="C21" s="157">
        <f>IF(D12="","-",+C20+1)</f>
        <v>2010</v>
      </c>
      <c r="D21" s="371">
        <v>361337</v>
      </c>
      <c r="E21" s="368">
        <v>6923.9642857142853</v>
      </c>
      <c r="F21" s="371">
        <v>354413.03571428574</v>
      </c>
      <c r="G21" s="368">
        <v>58064.529944767884</v>
      </c>
      <c r="H21" s="370">
        <v>58064.529944767884</v>
      </c>
      <c r="I21" s="160">
        <f t="shared" si="0"/>
        <v>0</v>
      </c>
      <c r="J21" s="160"/>
      <c r="K21" s="380">
        <f t="shared" ref="K21:K26" si="4">G21</f>
        <v>58064.529944767884</v>
      </c>
      <c r="L21" s="162">
        <f t="shared" si="1"/>
        <v>0</v>
      </c>
      <c r="M21" s="380">
        <f t="shared" ref="M21:M26" si="5">H21</f>
        <v>58064.529944767884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ref="B22:B72" si="6">IF(D22=F21,"","IU")</f>
        <v/>
      </c>
      <c r="C22" s="157">
        <f>IF(D11="","-",+C21+1)</f>
        <v>2011</v>
      </c>
      <c r="D22" s="371">
        <v>354413.03571428574</v>
      </c>
      <c r="E22" s="368">
        <v>7602.7843137254904</v>
      </c>
      <c r="F22" s="371">
        <v>346810.25140056026</v>
      </c>
      <c r="G22" s="368">
        <v>61893.620096156621</v>
      </c>
      <c r="H22" s="370">
        <v>61893.620096156621</v>
      </c>
      <c r="I22" s="160">
        <f t="shared" si="0"/>
        <v>0</v>
      </c>
      <c r="J22" s="160"/>
      <c r="K22" s="338">
        <f t="shared" si="4"/>
        <v>61893.620096156621</v>
      </c>
      <c r="L22" s="272">
        <f t="shared" si="1"/>
        <v>0</v>
      </c>
      <c r="M22" s="338">
        <f t="shared" si="5"/>
        <v>61893.620096156621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6"/>
        <v/>
      </c>
      <c r="C23" s="157">
        <f>IF(D11="","-",+C22+1)</f>
        <v>2012</v>
      </c>
      <c r="D23" s="371">
        <v>346810.25140056026</v>
      </c>
      <c r="E23" s="368">
        <v>7456.5769230769229</v>
      </c>
      <c r="F23" s="371">
        <v>339353.67447748332</v>
      </c>
      <c r="G23" s="368">
        <v>54696.893588724874</v>
      </c>
      <c r="H23" s="370">
        <v>54696.893588724874</v>
      </c>
      <c r="I23" s="160">
        <f t="shared" si="0"/>
        <v>0</v>
      </c>
      <c r="J23" s="160"/>
      <c r="K23" s="338">
        <f t="shared" si="4"/>
        <v>54696.893588724874</v>
      </c>
      <c r="L23" s="272">
        <f t="shared" si="1"/>
        <v>0</v>
      </c>
      <c r="M23" s="338">
        <f t="shared" si="5"/>
        <v>54696.893588724874</v>
      </c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6"/>
        <v/>
      </c>
      <c r="C24" s="157">
        <f>IF(D11="","-",+C23+1)</f>
        <v>2013</v>
      </c>
      <c r="D24" s="371">
        <v>339353.67447748332</v>
      </c>
      <c r="E24" s="368">
        <v>7456.5769230769229</v>
      </c>
      <c r="F24" s="371">
        <v>331897.09755440638</v>
      </c>
      <c r="G24" s="368">
        <v>54853.72619811543</v>
      </c>
      <c r="H24" s="370">
        <v>54853.72619811543</v>
      </c>
      <c r="I24" s="160">
        <v>0</v>
      </c>
      <c r="J24" s="160"/>
      <c r="K24" s="338">
        <f t="shared" si="4"/>
        <v>54853.72619811543</v>
      </c>
      <c r="L24" s="272">
        <f t="shared" ref="L24:L29" si="7">IF(K24&lt;&gt;0,+G24-K24,0)</f>
        <v>0</v>
      </c>
      <c r="M24" s="338">
        <f t="shared" si="5"/>
        <v>54853.72619811543</v>
      </c>
      <c r="N24" s="162">
        <f t="shared" ref="N24:N29" si="8">IF(M24&lt;&gt;0,+H24-M24,0)</f>
        <v>0</v>
      </c>
      <c r="O24" s="162">
        <f t="shared" ref="O24:O29" si="9">+N24-L24</f>
        <v>0</v>
      </c>
      <c r="P24" s="4"/>
    </row>
    <row r="25" spans="2:16">
      <c r="B25" s="9" t="str">
        <f t="shared" si="6"/>
        <v/>
      </c>
      <c r="C25" s="157">
        <f>IF(D11="","-",+C24+1)</f>
        <v>2014</v>
      </c>
      <c r="D25" s="371">
        <v>331897.09755440638</v>
      </c>
      <c r="E25" s="368">
        <v>7456.5769230769229</v>
      </c>
      <c r="F25" s="371">
        <v>324440.52063132945</v>
      </c>
      <c r="G25" s="368">
        <v>52118.659182147123</v>
      </c>
      <c r="H25" s="370">
        <v>52118.659182147123</v>
      </c>
      <c r="I25" s="160">
        <v>0</v>
      </c>
      <c r="J25" s="160"/>
      <c r="K25" s="338">
        <f t="shared" si="4"/>
        <v>52118.659182147123</v>
      </c>
      <c r="L25" s="272">
        <f t="shared" si="7"/>
        <v>0</v>
      </c>
      <c r="M25" s="338">
        <f t="shared" si="5"/>
        <v>52118.659182147123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2015</v>
      </c>
      <c r="D26" s="371">
        <v>324440.52063132945</v>
      </c>
      <c r="E26" s="368">
        <v>7456.5769230769229</v>
      </c>
      <c r="F26" s="371">
        <v>316983.94370825251</v>
      </c>
      <c r="G26" s="368">
        <v>51159.678410482353</v>
      </c>
      <c r="H26" s="370">
        <v>51159.678410482353</v>
      </c>
      <c r="I26" s="160">
        <v>0</v>
      </c>
      <c r="J26" s="160"/>
      <c r="K26" s="338">
        <f t="shared" si="4"/>
        <v>51159.678410482353</v>
      </c>
      <c r="L26" s="272">
        <f t="shared" si="7"/>
        <v>0</v>
      </c>
      <c r="M26" s="338">
        <f t="shared" si="5"/>
        <v>51159.678410482353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2016</v>
      </c>
      <c r="D27" s="371">
        <v>316983.94370825251</v>
      </c>
      <c r="E27" s="368">
        <v>7456.5769230769229</v>
      </c>
      <c r="F27" s="371">
        <v>309527.36678517557</v>
      </c>
      <c r="G27" s="368">
        <v>48054.073071867475</v>
      </c>
      <c r="H27" s="370">
        <v>48054.073071867475</v>
      </c>
      <c r="I27" s="160">
        <f t="shared" si="0"/>
        <v>0</v>
      </c>
      <c r="J27" s="160"/>
      <c r="K27" s="338">
        <f>G27</f>
        <v>48054.073071867475</v>
      </c>
      <c r="L27" s="272">
        <f t="shared" si="7"/>
        <v>0</v>
      </c>
      <c r="M27" s="338">
        <f>H27</f>
        <v>48054.073071867475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6"/>
        <v/>
      </c>
      <c r="C28" s="157">
        <f>IF(D11="","-",+C27+1)</f>
        <v>2017</v>
      </c>
      <c r="D28" s="371">
        <v>309527.36678517557</v>
      </c>
      <c r="E28" s="368">
        <v>8429.173913043478</v>
      </c>
      <c r="F28" s="371">
        <v>301098.19287213212</v>
      </c>
      <c r="G28" s="368">
        <v>46747.127066320332</v>
      </c>
      <c r="H28" s="370">
        <v>46747.127066320332</v>
      </c>
      <c r="I28" s="160">
        <v>0</v>
      </c>
      <c r="J28" s="160"/>
      <c r="K28" s="338">
        <f>G28</f>
        <v>46747.127066320332</v>
      </c>
      <c r="L28" s="272">
        <f t="shared" si="7"/>
        <v>0</v>
      </c>
      <c r="M28" s="338">
        <f>H28</f>
        <v>46747.127066320332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6"/>
        <v/>
      </c>
      <c r="C29" s="157">
        <f>IF(D11="","-",+C28+1)</f>
        <v>2018</v>
      </c>
      <c r="D29" s="371">
        <v>301098.19287213212</v>
      </c>
      <c r="E29" s="368">
        <v>8616.4888888888891</v>
      </c>
      <c r="F29" s="371">
        <v>292481.70398324321</v>
      </c>
      <c r="G29" s="368">
        <v>44159.738725302646</v>
      </c>
      <c r="H29" s="370">
        <v>44159.738725302646</v>
      </c>
      <c r="I29" s="160">
        <f t="shared" si="0"/>
        <v>0</v>
      </c>
      <c r="J29" s="160"/>
      <c r="K29" s="338">
        <f>G29</f>
        <v>44159.738725302646</v>
      </c>
      <c r="L29" s="272">
        <f t="shared" si="7"/>
        <v>0</v>
      </c>
      <c r="M29" s="338">
        <f>H29</f>
        <v>44159.738725302646</v>
      </c>
      <c r="N29" s="162">
        <f t="shared" si="8"/>
        <v>0</v>
      </c>
      <c r="O29" s="162">
        <f t="shared" si="9"/>
        <v>0</v>
      </c>
      <c r="P29" s="4"/>
    </row>
    <row r="30" spans="2:16">
      <c r="B30" s="9" t="str">
        <f t="shared" si="6"/>
        <v/>
      </c>
      <c r="C30" s="157">
        <f>IF(D11="","-",+C29+1)</f>
        <v>2019</v>
      </c>
      <c r="D30" s="163">
        <f>IF(F29+SUM(E$17:E29)=D$10,F29,D$10-SUM(E$17:E29))</f>
        <v>292481.70398324321</v>
      </c>
      <c r="E30" s="164">
        <f>IF(+I14&lt;F29,I14,D30)</f>
        <v>9693.5499999999993</v>
      </c>
      <c r="F30" s="163">
        <f t="shared" ref="F30:F72" si="10">+D30-E30</f>
        <v>282788.15398324322</v>
      </c>
      <c r="G30" s="165">
        <f t="shared" ref="G30:G72" si="11">(D30+F30)/2*I$12+E30</f>
        <v>42836.084122474029</v>
      </c>
      <c r="H30" s="147">
        <f t="shared" ref="H30:H72" si="12">+(D30+F30)/2*I$13+E30</f>
        <v>42836.084122474029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2020</v>
      </c>
      <c r="D31" s="163">
        <f>IF(F30+SUM(E$17:E30)=D$10,F30,D$10-SUM(E$17:E30))</f>
        <v>282788.15398324322</v>
      </c>
      <c r="E31" s="164">
        <f>IF(+I14&lt;F30,I14,D31)</f>
        <v>9693.5499999999993</v>
      </c>
      <c r="F31" s="163">
        <f t="shared" si="10"/>
        <v>273094.60398324323</v>
      </c>
      <c r="G31" s="165">
        <f t="shared" si="11"/>
        <v>41719.15158309658</v>
      </c>
      <c r="H31" s="147">
        <f t="shared" si="12"/>
        <v>41719.15158309658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2021</v>
      </c>
      <c r="D32" s="163">
        <f>IF(F31+SUM(E$17:E31)=D$10,F31,D$10-SUM(E$17:E31))</f>
        <v>273094.60398324323</v>
      </c>
      <c r="E32" s="164">
        <f>IF(+I14&lt;F31,I14,D32)</f>
        <v>9693.5499999999993</v>
      </c>
      <c r="F32" s="163">
        <f t="shared" si="10"/>
        <v>263401.05398324324</v>
      </c>
      <c r="G32" s="165">
        <f t="shared" si="11"/>
        <v>40602.219043719124</v>
      </c>
      <c r="H32" s="147">
        <f t="shared" si="12"/>
        <v>40602.219043719124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2022</v>
      </c>
      <c r="D33" s="163">
        <f>IF(F32+SUM(E$17:E32)=D$10,F32,D$10-SUM(E$17:E32))</f>
        <v>263401.05398324324</v>
      </c>
      <c r="E33" s="164">
        <f>IF(+I14&lt;F32,I14,D33)</f>
        <v>9693.5499999999993</v>
      </c>
      <c r="F33" s="163">
        <f t="shared" si="10"/>
        <v>253707.50398324325</v>
      </c>
      <c r="G33" s="165">
        <f t="shared" si="11"/>
        <v>39485.286504341668</v>
      </c>
      <c r="H33" s="147">
        <f t="shared" si="12"/>
        <v>39485.286504341668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2023</v>
      </c>
      <c r="D34" s="163">
        <f>IF(F33+SUM(E$17:E33)=D$10,F33,D$10-SUM(E$17:E33))</f>
        <v>253707.50398324325</v>
      </c>
      <c r="E34" s="164">
        <f>IF(+I14&lt;F33,I14,D34)</f>
        <v>9693.5499999999993</v>
      </c>
      <c r="F34" s="163">
        <f t="shared" si="10"/>
        <v>244013.95398324326</v>
      </c>
      <c r="G34" s="165">
        <f t="shared" si="11"/>
        <v>38368.353964964219</v>
      </c>
      <c r="H34" s="147">
        <f t="shared" si="12"/>
        <v>38368.353964964219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2024</v>
      </c>
      <c r="D35" s="163">
        <f>IF(F34+SUM(E$17:E34)=D$10,F34,D$10-SUM(E$17:E34))</f>
        <v>244013.95398324326</v>
      </c>
      <c r="E35" s="164">
        <f>IF(+I14&lt;F34,I14,D35)</f>
        <v>9693.5499999999993</v>
      </c>
      <c r="F35" s="163">
        <f t="shared" si="10"/>
        <v>234320.40398324328</v>
      </c>
      <c r="G35" s="165">
        <f t="shared" si="11"/>
        <v>37251.421425586756</v>
      </c>
      <c r="H35" s="147">
        <f t="shared" si="12"/>
        <v>37251.421425586756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2025</v>
      </c>
      <c r="D36" s="163">
        <f>IF(F35+SUM(E$17:E35)=D$10,F35,D$10-SUM(E$17:E35))</f>
        <v>234320.40398324328</v>
      </c>
      <c r="E36" s="164">
        <f>IF(+I14&lt;F35,I14,D36)</f>
        <v>9693.5499999999993</v>
      </c>
      <c r="F36" s="163">
        <f t="shared" si="10"/>
        <v>224626.85398324329</v>
      </c>
      <c r="G36" s="165">
        <f t="shared" si="11"/>
        <v>36134.488886209307</v>
      </c>
      <c r="H36" s="147">
        <f t="shared" si="12"/>
        <v>36134.488886209307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2026</v>
      </c>
      <c r="D37" s="163">
        <f>IF(F36+SUM(E$17:E36)=D$10,F36,D$10-SUM(E$17:E36))</f>
        <v>224626.85398324329</v>
      </c>
      <c r="E37" s="164">
        <f>IF(+I14&lt;F36,I14,D37)</f>
        <v>9693.5499999999993</v>
      </c>
      <c r="F37" s="163">
        <f t="shared" si="10"/>
        <v>214933.3039832433</v>
      </c>
      <c r="G37" s="165">
        <f t="shared" si="11"/>
        <v>35017.556346831851</v>
      </c>
      <c r="H37" s="147">
        <f t="shared" si="12"/>
        <v>35017.556346831851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2027</v>
      </c>
      <c r="D38" s="163">
        <f>IF(F37+SUM(E$17:E37)=D$10,F37,D$10-SUM(E$17:E37))</f>
        <v>214933.3039832433</v>
      </c>
      <c r="E38" s="164">
        <f>IF(+I14&lt;F37,I14,D38)</f>
        <v>9693.5499999999993</v>
      </c>
      <c r="F38" s="163">
        <f t="shared" si="10"/>
        <v>205239.75398324331</v>
      </c>
      <c r="G38" s="165">
        <f t="shared" si="11"/>
        <v>33900.623807454394</v>
      </c>
      <c r="H38" s="147">
        <f t="shared" si="12"/>
        <v>33900.623807454394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2028</v>
      </c>
      <c r="D39" s="163">
        <f>IF(F38+SUM(E$17:E38)=D$10,F38,D$10-SUM(E$17:E38))</f>
        <v>205239.75398324331</v>
      </c>
      <c r="E39" s="164">
        <f>IF(+I14&lt;F38,I14,D39)</f>
        <v>9693.5499999999993</v>
      </c>
      <c r="F39" s="163">
        <f t="shared" si="10"/>
        <v>195546.20398324332</v>
      </c>
      <c r="G39" s="165">
        <f t="shared" si="11"/>
        <v>32783.691268076946</v>
      </c>
      <c r="H39" s="147">
        <f t="shared" si="12"/>
        <v>32783.691268076946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2029</v>
      </c>
      <c r="D40" s="163">
        <f>IF(F39+SUM(E$17:E39)=D$10,F39,D$10-SUM(E$17:E39))</f>
        <v>195546.20398324332</v>
      </c>
      <c r="E40" s="164">
        <f>IF(+I14&lt;F39,I14,D40)</f>
        <v>9693.5499999999993</v>
      </c>
      <c r="F40" s="163">
        <f t="shared" si="10"/>
        <v>185852.65398324333</v>
      </c>
      <c r="G40" s="165">
        <f t="shared" si="11"/>
        <v>31666.758728699486</v>
      </c>
      <c r="H40" s="147">
        <f t="shared" si="12"/>
        <v>31666.758728699486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2030</v>
      </c>
      <c r="D41" s="163">
        <f>IF(F40+SUM(E$17:E40)=D$10,F40,D$10-SUM(E$17:E40))</f>
        <v>185852.65398324333</v>
      </c>
      <c r="E41" s="164">
        <f>IF(+I14&lt;F40,I14,D41)</f>
        <v>9693.5499999999993</v>
      </c>
      <c r="F41" s="163">
        <f t="shared" si="10"/>
        <v>176159.10398324335</v>
      </c>
      <c r="G41" s="165">
        <f t="shared" si="11"/>
        <v>30549.82618932203</v>
      </c>
      <c r="H41" s="147">
        <f t="shared" si="12"/>
        <v>30549.82618932203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2031</v>
      </c>
      <c r="D42" s="163">
        <f>IF(F41+SUM(E$17:E41)=D$10,F41,D$10-SUM(E$17:E41))</f>
        <v>176159.10398324335</v>
      </c>
      <c r="E42" s="164">
        <f>IF(+I14&lt;F41,I14,D42)</f>
        <v>9693.5499999999993</v>
      </c>
      <c r="F42" s="163">
        <f t="shared" si="10"/>
        <v>166465.55398324336</v>
      </c>
      <c r="G42" s="165">
        <f t="shared" si="11"/>
        <v>29432.893649944574</v>
      </c>
      <c r="H42" s="147">
        <f t="shared" si="12"/>
        <v>29432.893649944574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2032</v>
      </c>
      <c r="D43" s="163">
        <f>IF(F42+SUM(E$17:E42)=D$10,F42,D$10-SUM(E$17:E42))</f>
        <v>166465.55398324336</v>
      </c>
      <c r="E43" s="164">
        <f>IF(+I14&lt;F42,I14,D43)</f>
        <v>9693.5499999999993</v>
      </c>
      <c r="F43" s="163">
        <f t="shared" si="10"/>
        <v>156772.00398324337</v>
      </c>
      <c r="G43" s="165">
        <f t="shared" si="11"/>
        <v>28315.961110567121</v>
      </c>
      <c r="H43" s="147">
        <f t="shared" si="12"/>
        <v>28315.961110567121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2033</v>
      </c>
      <c r="D44" s="163">
        <f>IF(F43+SUM(E$17:E43)=D$10,F43,D$10-SUM(E$17:E43))</f>
        <v>156772.00398324337</v>
      </c>
      <c r="E44" s="164">
        <f>IF(+I14&lt;F43,I14,D44)</f>
        <v>9693.5499999999993</v>
      </c>
      <c r="F44" s="163">
        <f t="shared" si="10"/>
        <v>147078.45398324338</v>
      </c>
      <c r="G44" s="165">
        <f t="shared" si="11"/>
        <v>27199.028571189665</v>
      </c>
      <c r="H44" s="147">
        <f t="shared" si="12"/>
        <v>27199.028571189665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2034</v>
      </c>
      <c r="D45" s="163">
        <f>IF(F44+SUM(E$17:E44)=D$10,F44,D$10-SUM(E$17:E44))</f>
        <v>147078.45398324338</v>
      </c>
      <c r="E45" s="164">
        <f>IF(+I14&lt;F44,I14,D45)</f>
        <v>9693.5499999999993</v>
      </c>
      <c r="F45" s="163">
        <f t="shared" si="10"/>
        <v>137384.90398324339</v>
      </c>
      <c r="G45" s="165">
        <f t="shared" si="11"/>
        <v>26082.096031812209</v>
      </c>
      <c r="H45" s="147">
        <f t="shared" si="12"/>
        <v>26082.096031812209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2035</v>
      </c>
      <c r="D46" s="163">
        <f>IF(F45+SUM(E$17:E45)=D$10,F45,D$10-SUM(E$17:E45))</f>
        <v>137384.90398324339</v>
      </c>
      <c r="E46" s="164">
        <f>IF(+I14&lt;F45,I14,D46)</f>
        <v>9693.5499999999993</v>
      </c>
      <c r="F46" s="163">
        <f t="shared" si="10"/>
        <v>127691.35398324339</v>
      </c>
      <c r="G46" s="165">
        <f t="shared" si="11"/>
        <v>24965.163492434753</v>
      </c>
      <c r="H46" s="147">
        <f t="shared" si="12"/>
        <v>24965.163492434753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2036</v>
      </c>
      <c r="D47" s="163">
        <f>IF(F46+SUM(E$17:E46)=D$10,F46,D$10-SUM(E$17:E46))</f>
        <v>127691.35398324339</v>
      </c>
      <c r="E47" s="164">
        <f>IF(+I14&lt;F46,I14,D47)</f>
        <v>9693.5499999999993</v>
      </c>
      <c r="F47" s="163">
        <f t="shared" si="10"/>
        <v>117997.80398324339</v>
      </c>
      <c r="G47" s="165">
        <f t="shared" si="11"/>
        <v>23848.230953057297</v>
      </c>
      <c r="H47" s="147">
        <f t="shared" si="12"/>
        <v>23848.230953057297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2037</v>
      </c>
      <c r="D48" s="163">
        <f>IF(F47+SUM(E$17:E47)=D$10,F47,D$10-SUM(E$17:E47))</f>
        <v>117997.80398324339</v>
      </c>
      <c r="E48" s="164">
        <f>IF(+I14&lt;F47,I14,D48)</f>
        <v>9693.5499999999993</v>
      </c>
      <c r="F48" s="163">
        <f t="shared" si="10"/>
        <v>108304.25398324338</v>
      </c>
      <c r="G48" s="165">
        <f t="shared" si="11"/>
        <v>22731.29841367984</v>
      </c>
      <c r="H48" s="147">
        <f t="shared" si="12"/>
        <v>22731.29841367984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2038</v>
      </c>
      <c r="D49" s="163">
        <f>IF(F48+SUM(E$17:E48)=D$10,F48,D$10-SUM(E$17:E48))</f>
        <v>108304.25398324338</v>
      </c>
      <c r="E49" s="164">
        <f>IF(+I14&lt;F48,I14,D49)</f>
        <v>9693.5499999999993</v>
      </c>
      <c r="F49" s="163">
        <f t="shared" si="10"/>
        <v>98610.70398324338</v>
      </c>
      <c r="G49" s="165">
        <f t="shared" si="11"/>
        <v>21614.365874302384</v>
      </c>
      <c r="H49" s="147">
        <f t="shared" si="12"/>
        <v>21614.365874302384</v>
      </c>
      <c r="I49" s="160">
        <f t="shared" ref="I49:I72" si="13">H49-G49</f>
        <v>0</v>
      </c>
      <c r="J49" s="160"/>
      <c r="K49" s="335"/>
      <c r="L49" s="162">
        <f t="shared" ref="L49:L72" si="14">IF(K49&lt;&gt;0,+G49-K49,0)</f>
        <v>0</v>
      </c>
      <c r="M49" s="335"/>
      <c r="N49" s="162">
        <f t="shared" ref="N49:N72" si="15">IF(M49&lt;&gt;0,+H49-M49,0)</f>
        <v>0</v>
      </c>
      <c r="O49" s="162">
        <f t="shared" ref="O49:O72" si="16">+N49-L49</f>
        <v>0</v>
      </c>
      <c r="P49" s="4"/>
    </row>
    <row r="50" spans="2:16">
      <c r="B50" s="9" t="str">
        <f t="shared" si="6"/>
        <v/>
      </c>
      <c r="C50" s="157">
        <f>IF(D11="","-",+C49+1)</f>
        <v>2039</v>
      </c>
      <c r="D50" s="163">
        <f>IF(F49+SUM(E$17:E49)=D$10,F49,D$10-SUM(E$17:E49))</f>
        <v>98610.70398324338</v>
      </c>
      <c r="E50" s="164">
        <f>IF(+I14&lt;F49,I14,D50)</f>
        <v>9693.5499999999993</v>
      </c>
      <c r="F50" s="163">
        <f t="shared" si="10"/>
        <v>88917.153983243377</v>
      </c>
      <c r="G50" s="165">
        <f t="shared" si="11"/>
        <v>20497.433334924928</v>
      </c>
      <c r="H50" s="147">
        <f t="shared" si="12"/>
        <v>20497.433334924928</v>
      </c>
      <c r="I50" s="160">
        <f t="shared" si="13"/>
        <v>0</v>
      </c>
      <c r="J50" s="160"/>
      <c r="K50" s="335"/>
      <c r="L50" s="162">
        <f t="shared" si="14"/>
        <v>0</v>
      </c>
      <c r="M50" s="335"/>
      <c r="N50" s="162">
        <f t="shared" si="15"/>
        <v>0</v>
      </c>
      <c r="O50" s="162">
        <f t="shared" si="16"/>
        <v>0</v>
      </c>
      <c r="P50" s="4"/>
    </row>
    <row r="51" spans="2:16">
      <c r="B51" s="9" t="str">
        <f t="shared" si="6"/>
        <v/>
      </c>
      <c r="C51" s="157">
        <f>IF(D11="","-",+C50+1)</f>
        <v>2040</v>
      </c>
      <c r="D51" s="163">
        <f>IF(F50+SUM(E$17:E50)=D$10,F50,D$10-SUM(E$17:E50))</f>
        <v>88917.153983243377</v>
      </c>
      <c r="E51" s="164">
        <f>IF(+I14&lt;F50,I14,D51)</f>
        <v>9693.5499999999993</v>
      </c>
      <c r="F51" s="163">
        <f t="shared" si="10"/>
        <v>79223.603983243374</v>
      </c>
      <c r="G51" s="165">
        <f t="shared" si="11"/>
        <v>19380.500795547468</v>
      </c>
      <c r="H51" s="147">
        <f t="shared" si="12"/>
        <v>19380.500795547468</v>
      </c>
      <c r="I51" s="160">
        <f t="shared" si="13"/>
        <v>0</v>
      </c>
      <c r="J51" s="160"/>
      <c r="K51" s="335"/>
      <c r="L51" s="162">
        <f t="shared" si="14"/>
        <v>0</v>
      </c>
      <c r="M51" s="335"/>
      <c r="N51" s="162">
        <f t="shared" si="15"/>
        <v>0</v>
      </c>
      <c r="O51" s="162">
        <f t="shared" si="16"/>
        <v>0</v>
      </c>
      <c r="P51" s="4"/>
    </row>
    <row r="52" spans="2:16">
      <c r="B52" s="9" t="str">
        <f t="shared" si="6"/>
        <v/>
      </c>
      <c r="C52" s="157">
        <f>IF(D11="","-",+C51+1)</f>
        <v>2041</v>
      </c>
      <c r="D52" s="163">
        <f>IF(F51+SUM(E$17:E51)=D$10,F51,D$10-SUM(E$17:E51))</f>
        <v>79223.603983243374</v>
      </c>
      <c r="E52" s="164">
        <f>IF(+I14&lt;F51,I14,D52)</f>
        <v>9693.5499999999993</v>
      </c>
      <c r="F52" s="163">
        <f t="shared" si="10"/>
        <v>69530.053983243371</v>
      </c>
      <c r="G52" s="165">
        <f t="shared" si="11"/>
        <v>18263.568256170012</v>
      </c>
      <c r="H52" s="147">
        <f t="shared" si="12"/>
        <v>18263.568256170012</v>
      </c>
      <c r="I52" s="160">
        <f t="shared" si="13"/>
        <v>0</v>
      </c>
      <c r="J52" s="160"/>
      <c r="K52" s="335"/>
      <c r="L52" s="162">
        <f t="shared" si="14"/>
        <v>0</v>
      </c>
      <c r="M52" s="335"/>
      <c r="N52" s="162">
        <f t="shared" si="15"/>
        <v>0</v>
      </c>
      <c r="O52" s="162">
        <f t="shared" si="16"/>
        <v>0</v>
      </c>
      <c r="P52" s="4"/>
    </row>
    <row r="53" spans="2:16">
      <c r="B53" s="9" t="str">
        <f t="shared" si="6"/>
        <v/>
      </c>
      <c r="C53" s="157">
        <f>IF(D11="","-",+C52+1)</f>
        <v>2042</v>
      </c>
      <c r="D53" s="163">
        <f>IF(F52+SUM(E$17:E52)=D$10,F52,D$10-SUM(E$17:E52))</f>
        <v>69530.053983243371</v>
      </c>
      <c r="E53" s="164">
        <f>IF(+I14&lt;F52,I14,D53)</f>
        <v>9693.5499999999993</v>
      </c>
      <c r="F53" s="163">
        <f t="shared" si="10"/>
        <v>59836.503983243369</v>
      </c>
      <c r="G53" s="165">
        <f t="shared" si="11"/>
        <v>17146.635716792556</v>
      </c>
      <c r="H53" s="147">
        <f t="shared" si="12"/>
        <v>17146.635716792556</v>
      </c>
      <c r="I53" s="160">
        <f t="shared" si="13"/>
        <v>0</v>
      </c>
      <c r="J53" s="160"/>
      <c r="K53" s="335"/>
      <c r="L53" s="162">
        <f t="shared" si="14"/>
        <v>0</v>
      </c>
      <c r="M53" s="335"/>
      <c r="N53" s="162">
        <f t="shared" si="15"/>
        <v>0</v>
      </c>
      <c r="O53" s="162">
        <f t="shared" si="16"/>
        <v>0</v>
      </c>
      <c r="P53" s="4"/>
    </row>
    <row r="54" spans="2:16">
      <c r="B54" s="9" t="str">
        <f t="shared" si="6"/>
        <v/>
      </c>
      <c r="C54" s="157">
        <f>IF(D11="","-",+C53+1)</f>
        <v>2043</v>
      </c>
      <c r="D54" s="163">
        <f>IF(F53+SUM(E$17:E53)=D$10,F53,D$10-SUM(E$17:E53))</f>
        <v>59836.503983243369</v>
      </c>
      <c r="E54" s="164">
        <f>IF(+I14&lt;F53,I14,D54)</f>
        <v>9693.5499999999993</v>
      </c>
      <c r="F54" s="163">
        <f t="shared" si="10"/>
        <v>50142.953983243366</v>
      </c>
      <c r="G54" s="165">
        <f t="shared" si="11"/>
        <v>16029.703177415098</v>
      </c>
      <c r="H54" s="147">
        <f t="shared" si="12"/>
        <v>16029.703177415098</v>
      </c>
      <c r="I54" s="160">
        <f t="shared" si="13"/>
        <v>0</v>
      </c>
      <c r="J54" s="160"/>
      <c r="K54" s="335"/>
      <c r="L54" s="162">
        <f t="shared" si="14"/>
        <v>0</v>
      </c>
      <c r="M54" s="335"/>
      <c r="N54" s="162">
        <f t="shared" si="15"/>
        <v>0</v>
      </c>
      <c r="O54" s="162">
        <f t="shared" si="16"/>
        <v>0</v>
      </c>
      <c r="P54" s="4"/>
    </row>
    <row r="55" spans="2:16">
      <c r="B55" s="9" t="str">
        <f t="shared" si="6"/>
        <v/>
      </c>
      <c r="C55" s="157">
        <f>IF(D11="","-",+C54+1)</f>
        <v>2044</v>
      </c>
      <c r="D55" s="163">
        <f>IF(F54+SUM(E$17:E54)=D$10,F54,D$10-SUM(E$17:E54))</f>
        <v>50142.953983243366</v>
      </c>
      <c r="E55" s="164">
        <f>IF(+I14&lt;F54,I14,D55)</f>
        <v>9693.5499999999993</v>
      </c>
      <c r="F55" s="163">
        <f t="shared" si="10"/>
        <v>40449.403983243363</v>
      </c>
      <c r="G55" s="165">
        <f t="shared" si="11"/>
        <v>14912.77063803764</v>
      </c>
      <c r="H55" s="147">
        <f t="shared" si="12"/>
        <v>14912.77063803764</v>
      </c>
      <c r="I55" s="160">
        <f t="shared" si="13"/>
        <v>0</v>
      </c>
      <c r="J55" s="160"/>
      <c r="K55" s="335"/>
      <c r="L55" s="162">
        <f t="shared" si="14"/>
        <v>0</v>
      </c>
      <c r="M55" s="335"/>
      <c r="N55" s="162">
        <f t="shared" si="15"/>
        <v>0</v>
      </c>
      <c r="O55" s="162">
        <f t="shared" si="16"/>
        <v>0</v>
      </c>
      <c r="P55" s="4"/>
    </row>
    <row r="56" spans="2:16">
      <c r="B56" s="9" t="str">
        <f t="shared" si="6"/>
        <v/>
      </c>
      <c r="C56" s="157">
        <f>IF(D11="","-",+C55+1)</f>
        <v>2045</v>
      </c>
      <c r="D56" s="163">
        <f>IF(F55+SUM(E$17:E55)=D$10,F55,D$10-SUM(E$17:E55))</f>
        <v>40449.403983243363</v>
      </c>
      <c r="E56" s="164">
        <f>IF(+I14&lt;F55,I14,D56)</f>
        <v>9693.5499999999993</v>
      </c>
      <c r="F56" s="163">
        <f t="shared" si="10"/>
        <v>30755.853983243363</v>
      </c>
      <c r="G56" s="165">
        <f t="shared" si="11"/>
        <v>13795.838098660184</v>
      </c>
      <c r="H56" s="147">
        <f t="shared" si="12"/>
        <v>13795.838098660184</v>
      </c>
      <c r="I56" s="160">
        <f t="shared" si="13"/>
        <v>0</v>
      </c>
      <c r="J56" s="160"/>
      <c r="K56" s="335"/>
      <c r="L56" s="162">
        <f t="shared" si="14"/>
        <v>0</v>
      </c>
      <c r="M56" s="335"/>
      <c r="N56" s="162">
        <f t="shared" si="15"/>
        <v>0</v>
      </c>
      <c r="O56" s="162">
        <f t="shared" si="16"/>
        <v>0</v>
      </c>
      <c r="P56" s="4"/>
    </row>
    <row r="57" spans="2:16">
      <c r="B57" s="9" t="str">
        <f t="shared" si="6"/>
        <v/>
      </c>
      <c r="C57" s="157">
        <f>IF(D11="","-",+C56+1)</f>
        <v>2046</v>
      </c>
      <c r="D57" s="163">
        <f>IF(F56+SUM(E$17:E56)=D$10,F56,D$10-SUM(E$17:E56))</f>
        <v>30755.853983243363</v>
      </c>
      <c r="E57" s="164">
        <f>IF(+I14&lt;F56,I14,D57)</f>
        <v>9693.5499999999993</v>
      </c>
      <c r="F57" s="163">
        <f t="shared" si="10"/>
        <v>21062.303983243364</v>
      </c>
      <c r="G57" s="165">
        <f t="shared" si="11"/>
        <v>12678.905559282728</v>
      </c>
      <c r="H57" s="147">
        <f t="shared" si="12"/>
        <v>12678.905559282728</v>
      </c>
      <c r="I57" s="160">
        <f t="shared" si="13"/>
        <v>0</v>
      </c>
      <c r="J57" s="160"/>
      <c r="K57" s="335"/>
      <c r="L57" s="162">
        <f t="shared" si="14"/>
        <v>0</v>
      </c>
      <c r="M57" s="335"/>
      <c r="N57" s="162">
        <f t="shared" si="15"/>
        <v>0</v>
      </c>
      <c r="O57" s="162">
        <f t="shared" si="16"/>
        <v>0</v>
      </c>
      <c r="P57" s="4"/>
    </row>
    <row r="58" spans="2:16">
      <c r="B58" s="9" t="str">
        <f t="shared" si="6"/>
        <v/>
      </c>
      <c r="C58" s="157">
        <f>IF(D11="","-",+C57+1)</f>
        <v>2047</v>
      </c>
      <c r="D58" s="163">
        <f>IF(F57+SUM(E$17:E57)=D$10,F57,D$10-SUM(E$17:E57))</f>
        <v>21062.303983243364</v>
      </c>
      <c r="E58" s="164">
        <f>IF(+I14&lt;F57,I14,D58)</f>
        <v>9693.5499999999993</v>
      </c>
      <c r="F58" s="163">
        <f t="shared" si="10"/>
        <v>11368.753983243365</v>
      </c>
      <c r="G58" s="165">
        <f t="shared" si="11"/>
        <v>11561.973019905272</v>
      </c>
      <c r="H58" s="147">
        <f t="shared" si="12"/>
        <v>11561.973019905272</v>
      </c>
      <c r="I58" s="160">
        <f t="shared" si="13"/>
        <v>0</v>
      </c>
      <c r="J58" s="160"/>
      <c r="K58" s="335"/>
      <c r="L58" s="162">
        <f t="shared" si="14"/>
        <v>0</v>
      </c>
      <c r="M58" s="335"/>
      <c r="N58" s="162">
        <f t="shared" si="15"/>
        <v>0</v>
      </c>
      <c r="O58" s="162">
        <f t="shared" si="16"/>
        <v>0</v>
      </c>
      <c r="P58" s="4"/>
    </row>
    <row r="59" spans="2:16">
      <c r="B59" s="9" t="str">
        <f t="shared" si="6"/>
        <v/>
      </c>
      <c r="C59" s="157">
        <f>IF(D11="","-",+C58+1)</f>
        <v>2048</v>
      </c>
      <c r="D59" s="163">
        <f>IF(F58+SUM(E$17:E58)=D$10,F58,D$10-SUM(E$17:E58))</f>
        <v>11368.753983243365</v>
      </c>
      <c r="E59" s="164">
        <f>IF(+I14&lt;F58,I14,D59)</f>
        <v>9693.5499999999993</v>
      </c>
      <c r="F59" s="163">
        <f t="shared" si="10"/>
        <v>1675.2039832433657</v>
      </c>
      <c r="G59" s="165">
        <f t="shared" si="11"/>
        <v>10445.040480527816</v>
      </c>
      <c r="H59" s="147">
        <f t="shared" si="12"/>
        <v>10445.040480527816</v>
      </c>
      <c r="I59" s="160">
        <f t="shared" si="13"/>
        <v>0</v>
      </c>
      <c r="J59" s="160"/>
      <c r="K59" s="335"/>
      <c r="L59" s="162">
        <f t="shared" si="14"/>
        <v>0</v>
      </c>
      <c r="M59" s="335"/>
      <c r="N59" s="162">
        <f t="shared" si="15"/>
        <v>0</v>
      </c>
      <c r="O59" s="162">
        <f t="shared" si="16"/>
        <v>0</v>
      </c>
      <c r="P59" s="4"/>
    </row>
    <row r="60" spans="2:16">
      <c r="B60" s="9" t="str">
        <f t="shared" si="6"/>
        <v/>
      </c>
      <c r="C60" s="157">
        <f>IF(D11="","-",+C59+1)</f>
        <v>2049</v>
      </c>
      <c r="D60" s="163">
        <f>IF(F59+SUM(E$17:E59)=D$10,F59,D$10-SUM(E$17:E59))</f>
        <v>1675.2039832433657</v>
      </c>
      <c r="E60" s="164">
        <f>IF(+I14&lt;F59,I14,D60)</f>
        <v>1675.2039832433657</v>
      </c>
      <c r="F60" s="163">
        <f t="shared" si="10"/>
        <v>0</v>
      </c>
      <c r="G60" s="165">
        <f t="shared" si="11"/>
        <v>1771.7160886629097</v>
      </c>
      <c r="H60" s="147">
        <f t="shared" si="12"/>
        <v>1771.7160886629097</v>
      </c>
      <c r="I60" s="160">
        <f t="shared" si="13"/>
        <v>0</v>
      </c>
      <c r="J60" s="160"/>
      <c r="K60" s="335"/>
      <c r="L60" s="162">
        <f t="shared" si="14"/>
        <v>0</v>
      </c>
      <c r="M60" s="335"/>
      <c r="N60" s="162">
        <f t="shared" si="15"/>
        <v>0</v>
      </c>
      <c r="O60" s="162">
        <f t="shared" si="16"/>
        <v>0</v>
      </c>
      <c r="P60" s="4"/>
    </row>
    <row r="61" spans="2:16">
      <c r="B61" s="9" t="str">
        <f t="shared" si="6"/>
        <v/>
      </c>
      <c r="C61" s="157">
        <f>IF(D11="","-",+C60+1)</f>
        <v>2050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0"/>
        <v>0</v>
      </c>
      <c r="G61" s="165">
        <f t="shared" si="11"/>
        <v>0</v>
      </c>
      <c r="H61" s="147">
        <f t="shared" si="12"/>
        <v>0</v>
      </c>
      <c r="I61" s="160">
        <f t="shared" si="13"/>
        <v>0</v>
      </c>
      <c r="J61" s="160"/>
      <c r="K61" s="335"/>
      <c r="L61" s="162">
        <f t="shared" si="14"/>
        <v>0</v>
      </c>
      <c r="M61" s="335"/>
      <c r="N61" s="162">
        <f t="shared" si="15"/>
        <v>0</v>
      </c>
      <c r="O61" s="162">
        <f t="shared" si="16"/>
        <v>0</v>
      </c>
      <c r="P61" s="4"/>
    </row>
    <row r="62" spans="2:16">
      <c r="B62" s="9" t="str">
        <f t="shared" si="6"/>
        <v/>
      </c>
      <c r="C62" s="157">
        <f>IF(D11="","-",+C61+1)</f>
        <v>2051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0"/>
        <v>0</v>
      </c>
      <c r="G62" s="165">
        <f t="shared" si="11"/>
        <v>0</v>
      </c>
      <c r="H62" s="147">
        <f t="shared" si="12"/>
        <v>0</v>
      </c>
      <c r="I62" s="160">
        <f t="shared" si="13"/>
        <v>0</v>
      </c>
      <c r="J62" s="160"/>
      <c r="K62" s="335"/>
      <c r="L62" s="162">
        <f t="shared" si="14"/>
        <v>0</v>
      </c>
      <c r="M62" s="335"/>
      <c r="N62" s="162">
        <f t="shared" si="15"/>
        <v>0</v>
      </c>
      <c r="O62" s="162">
        <f t="shared" si="16"/>
        <v>0</v>
      </c>
      <c r="P62" s="4"/>
    </row>
    <row r="63" spans="2:16">
      <c r="B63" s="9" t="str">
        <f t="shared" si="6"/>
        <v/>
      </c>
      <c r="C63" s="157">
        <f>IF(D11="","-",+C62+1)</f>
        <v>2052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0"/>
        <v>0</v>
      </c>
      <c r="G63" s="165">
        <f t="shared" si="11"/>
        <v>0</v>
      </c>
      <c r="H63" s="147">
        <f t="shared" si="12"/>
        <v>0</v>
      </c>
      <c r="I63" s="160">
        <f t="shared" si="13"/>
        <v>0</v>
      </c>
      <c r="J63" s="160"/>
      <c r="K63" s="335"/>
      <c r="L63" s="162">
        <f t="shared" si="14"/>
        <v>0</v>
      </c>
      <c r="M63" s="335"/>
      <c r="N63" s="162">
        <f t="shared" si="15"/>
        <v>0</v>
      </c>
      <c r="O63" s="162">
        <f t="shared" si="16"/>
        <v>0</v>
      </c>
      <c r="P63" s="4"/>
    </row>
    <row r="64" spans="2:16">
      <c r="B64" s="9" t="str">
        <f t="shared" si="6"/>
        <v/>
      </c>
      <c r="C64" s="157">
        <f>IF(D11="","-",+C63+1)</f>
        <v>2053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0"/>
        <v>0</v>
      </c>
      <c r="G64" s="165">
        <f t="shared" si="11"/>
        <v>0</v>
      </c>
      <c r="H64" s="147">
        <f t="shared" si="12"/>
        <v>0</v>
      </c>
      <c r="I64" s="160">
        <f t="shared" si="13"/>
        <v>0</v>
      </c>
      <c r="J64" s="160"/>
      <c r="K64" s="335"/>
      <c r="L64" s="162">
        <f t="shared" si="14"/>
        <v>0</v>
      </c>
      <c r="M64" s="335"/>
      <c r="N64" s="162">
        <f t="shared" si="15"/>
        <v>0</v>
      </c>
      <c r="O64" s="162">
        <f t="shared" si="16"/>
        <v>0</v>
      </c>
      <c r="P64" s="4"/>
    </row>
    <row r="65" spans="2:16">
      <c r="B65" s="9" t="str">
        <f t="shared" si="6"/>
        <v/>
      </c>
      <c r="C65" s="157">
        <f>IF(D11="","-",+C64+1)</f>
        <v>2054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0"/>
        <v>0</v>
      </c>
      <c r="G65" s="165">
        <f t="shared" si="11"/>
        <v>0</v>
      </c>
      <c r="H65" s="147">
        <f t="shared" si="12"/>
        <v>0</v>
      </c>
      <c r="I65" s="160">
        <f t="shared" si="13"/>
        <v>0</v>
      </c>
      <c r="J65" s="160"/>
      <c r="K65" s="335"/>
      <c r="L65" s="162">
        <f t="shared" si="14"/>
        <v>0</v>
      </c>
      <c r="M65" s="335"/>
      <c r="N65" s="162">
        <f t="shared" si="15"/>
        <v>0</v>
      </c>
      <c r="O65" s="162">
        <f t="shared" si="16"/>
        <v>0</v>
      </c>
      <c r="P65" s="4"/>
    </row>
    <row r="66" spans="2:16">
      <c r="B66" s="9" t="str">
        <f t="shared" si="6"/>
        <v/>
      </c>
      <c r="C66" s="157">
        <f>IF(D11="","-",+C65+1)</f>
        <v>2055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0"/>
        <v>0</v>
      </c>
      <c r="G66" s="165">
        <f t="shared" si="11"/>
        <v>0</v>
      </c>
      <c r="H66" s="147">
        <f t="shared" si="12"/>
        <v>0</v>
      </c>
      <c r="I66" s="160">
        <f t="shared" si="13"/>
        <v>0</v>
      </c>
      <c r="J66" s="160"/>
      <c r="K66" s="335"/>
      <c r="L66" s="162">
        <f t="shared" si="14"/>
        <v>0</v>
      </c>
      <c r="M66" s="335"/>
      <c r="N66" s="162">
        <f t="shared" si="15"/>
        <v>0</v>
      </c>
      <c r="O66" s="162">
        <f t="shared" si="16"/>
        <v>0</v>
      </c>
      <c r="P66" s="4"/>
    </row>
    <row r="67" spans="2:16">
      <c r="B67" s="9" t="str">
        <f t="shared" si="6"/>
        <v/>
      </c>
      <c r="C67" s="157">
        <f>IF(D11="","-",+C66+1)</f>
        <v>2056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0"/>
        <v>0</v>
      </c>
      <c r="G67" s="165">
        <f t="shared" si="11"/>
        <v>0</v>
      </c>
      <c r="H67" s="147">
        <f t="shared" si="12"/>
        <v>0</v>
      </c>
      <c r="I67" s="160">
        <f t="shared" si="13"/>
        <v>0</v>
      </c>
      <c r="J67" s="160"/>
      <c r="K67" s="335"/>
      <c r="L67" s="162">
        <f t="shared" si="14"/>
        <v>0</v>
      </c>
      <c r="M67" s="335"/>
      <c r="N67" s="162">
        <f t="shared" si="15"/>
        <v>0</v>
      </c>
      <c r="O67" s="162">
        <f t="shared" si="16"/>
        <v>0</v>
      </c>
      <c r="P67" s="4"/>
    </row>
    <row r="68" spans="2:16">
      <c r="B68" s="9" t="str">
        <f t="shared" si="6"/>
        <v/>
      </c>
      <c r="C68" s="157">
        <f>IF(D11="","-",+C67+1)</f>
        <v>2057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0"/>
        <v>0</v>
      </c>
      <c r="G68" s="165">
        <f t="shared" si="11"/>
        <v>0</v>
      </c>
      <c r="H68" s="147">
        <f t="shared" si="12"/>
        <v>0</v>
      </c>
      <c r="I68" s="160">
        <f t="shared" si="13"/>
        <v>0</v>
      </c>
      <c r="J68" s="160"/>
      <c r="K68" s="335"/>
      <c r="L68" s="162">
        <f t="shared" si="14"/>
        <v>0</v>
      </c>
      <c r="M68" s="335"/>
      <c r="N68" s="162">
        <f t="shared" si="15"/>
        <v>0</v>
      </c>
      <c r="O68" s="162">
        <f t="shared" si="16"/>
        <v>0</v>
      </c>
      <c r="P68" s="4"/>
    </row>
    <row r="69" spans="2:16">
      <c r="B69" s="9" t="str">
        <f t="shared" si="6"/>
        <v/>
      </c>
      <c r="C69" s="157">
        <f>IF(D11="","-",+C68+1)</f>
        <v>2058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0"/>
        <v>0</v>
      </c>
      <c r="G69" s="165">
        <f t="shared" si="11"/>
        <v>0</v>
      </c>
      <c r="H69" s="147">
        <f t="shared" si="12"/>
        <v>0</v>
      </c>
      <c r="I69" s="160">
        <f t="shared" si="13"/>
        <v>0</v>
      </c>
      <c r="J69" s="160"/>
      <c r="K69" s="335"/>
      <c r="L69" s="162">
        <f t="shared" si="14"/>
        <v>0</v>
      </c>
      <c r="M69" s="335"/>
      <c r="N69" s="162">
        <f t="shared" si="15"/>
        <v>0</v>
      </c>
      <c r="O69" s="162">
        <f t="shared" si="16"/>
        <v>0</v>
      </c>
      <c r="P69" s="4"/>
    </row>
    <row r="70" spans="2:16">
      <c r="B70" s="9" t="str">
        <f t="shared" si="6"/>
        <v/>
      </c>
      <c r="C70" s="157">
        <f>IF(D11="","-",+C69+1)</f>
        <v>2059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0"/>
        <v>0</v>
      </c>
      <c r="G70" s="165">
        <f t="shared" si="11"/>
        <v>0</v>
      </c>
      <c r="H70" s="147">
        <f t="shared" si="12"/>
        <v>0</v>
      </c>
      <c r="I70" s="160">
        <f t="shared" si="13"/>
        <v>0</v>
      </c>
      <c r="J70" s="160"/>
      <c r="K70" s="335"/>
      <c r="L70" s="162">
        <f t="shared" si="14"/>
        <v>0</v>
      </c>
      <c r="M70" s="335"/>
      <c r="N70" s="162">
        <f t="shared" si="15"/>
        <v>0</v>
      </c>
      <c r="O70" s="162">
        <f t="shared" si="16"/>
        <v>0</v>
      </c>
      <c r="P70" s="4"/>
    </row>
    <row r="71" spans="2:16">
      <c r="B71" s="9" t="str">
        <f t="shared" si="6"/>
        <v/>
      </c>
      <c r="C71" s="157">
        <f>IF(D11="","-",+C70+1)</f>
        <v>2060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0"/>
        <v>0</v>
      </c>
      <c r="G71" s="165">
        <f t="shared" si="11"/>
        <v>0</v>
      </c>
      <c r="H71" s="147">
        <f t="shared" si="12"/>
        <v>0</v>
      </c>
      <c r="I71" s="160">
        <f t="shared" si="13"/>
        <v>0</v>
      </c>
      <c r="J71" s="160"/>
      <c r="K71" s="335"/>
      <c r="L71" s="162">
        <f t="shared" si="14"/>
        <v>0</v>
      </c>
      <c r="M71" s="335"/>
      <c r="N71" s="162">
        <f t="shared" si="15"/>
        <v>0</v>
      </c>
      <c r="O71" s="162">
        <f t="shared" si="16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2061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0"/>
        <v>0</v>
      </c>
      <c r="G72" s="169">
        <f t="shared" si="11"/>
        <v>0</v>
      </c>
      <c r="H72" s="169">
        <f t="shared" si="12"/>
        <v>0</v>
      </c>
      <c r="I72" s="172">
        <f t="shared" si="13"/>
        <v>0</v>
      </c>
      <c r="J72" s="160"/>
      <c r="K72" s="336"/>
      <c r="L72" s="173">
        <f t="shared" si="14"/>
        <v>0</v>
      </c>
      <c r="M72" s="336"/>
      <c r="N72" s="173">
        <f t="shared" si="15"/>
        <v>0</v>
      </c>
      <c r="O72" s="173">
        <f t="shared" si="16"/>
        <v>0</v>
      </c>
      <c r="P72" s="4"/>
    </row>
    <row r="73" spans="2:16">
      <c r="C73" s="158" t="s">
        <v>72</v>
      </c>
      <c r="D73" s="115"/>
      <c r="E73" s="115">
        <f>SUM(E17:E72)</f>
        <v>387741.99999999983</v>
      </c>
      <c r="F73" s="115"/>
      <c r="G73" s="115">
        <f>SUM(G17:G72)</f>
        <v>1457495.6314175755</v>
      </c>
      <c r="H73" s="115">
        <f>SUM(H17:H72)</f>
        <v>1457495.6314175755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5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46747.127066320332</v>
      </c>
      <c r="N87" s="202">
        <f>IF(J92&lt;D11,0,VLOOKUP(J92,C17:O72,11))</f>
        <v>46747.127066320332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47064.028489702585</v>
      </c>
      <c r="N88" s="204">
        <f>IF(J92&lt;D11,0,VLOOKUP(J92,C99:P154,7))</f>
        <v>47064.028489702585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Catoosa 138 kV Device (Cap. Bank)</v>
      </c>
      <c r="E89" s="1"/>
      <c r="F89" s="1"/>
      <c r="G89" s="1">
        <v>387742</v>
      </c>
      <c r="H89" s="1"/>
      <c r="I89" s="3"/>
      <c r="J89" s="3"/>
      <c r="K89" s="268"/>
      <c r="L89" s="269" t="s">
        <v>151</v>
      </c>
      <c r="M89" s="207">
        <f>+M88-M87</f>
        <v>316.90142338225269</v>
      </c>
      <c r="N89" s="207">
        <f>+N88-N87</f>
        <v>316.90142338225269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TP2005006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387742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2006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5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8429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96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2006</v>
      </c>
      <c r="D99" s="366">
        <f>IF(D93=C99,0,D92)</f>
        <v>0</v>
      </c>
      <c r="E99" s="368">
        <v>3801</v>
      </c>
      <c r="F99" s="371">
        <v>383941</v>
      </c>
      <c r="G99" s="373">
        <v>385841</v>
      </c>
      <c r="H99" s="374">
        <v>0</v>
      </c>
      <c r="I99" s="375">
        <v>0</v>
      </c>
      <c r="J99" s="162">
        <f t="shared" ref="J99:J130" si="17">+I99-H99</f>
        <v>0</v>
      </c>
      <c r="K99" s="162"/>
      <c r="L99" s="337">
        <v>0</v>
      </c>
      <c r="M99" s="176">
        <f>IF(L99&lt;&gt;0,+H99-L99,0)</f>
        <v>0</v>
      </c>
      <c r="N99" s="337">
        <v>0</v>
      </c>
      <c r="O99" s="161">
        <f>IF(N99&lt;&gt;0,+I99-N99,0)</f>
        <v>0</v>
      </c>
      <c r="P99" s="161">
        <f t="shared" ref="P99:P130" si="18">+O99-M99</f>
        <v>0</v>
      </c>
    </row>
    <row r="100" spans="1:16">
      <c r="B100" s="9" t="str">
        <f t="shared" ref="B100:B154" si="19">IF(D100=F99,"","IU")</f>
        <v/>
      </c>
      <c r="C100" s="157">
        <f>IF(D93="","-",+C99+1)</f>
        <v>2007</v>
      </c>
      <c r="D100" s="366">
        <v>383941</v>
      </c>
      <c r="E100" s="372">
        <v>7603</v>
      </c>
      <c r="F100" s="371">
        <v>376338</v>
      </c>
      <c r="G100" s="371">
        <v>380140</v>
      </c>
      <c r="H100" s="368">
        <v>66528</v>
      </c>
      <c r="I100" s="370">
        <v>66528</v>
      </c>
      <c r="J100" s="162">
        <f t="shared" si="17"/>
        <v>0</v>
      </c>
      <c r="K100" s="162"/>
      <c r="L100" s="338">
        <v>0</v>
      </c>
      <c r="M100" s="272">
        <f>IF(L100&lt;&gt;0,+H100-L100,0)</f>
        <v>0</v>
      </c>
      <c r="N100" s="338">
        <v>0</v>
      </c>
      <c r="O100" s="162">
        <f>IF(N100&lt;&gt;0,+I100-N100,0)</f>
        <v>0</v>
      </c>
      <c r="P100" s="162">
        <f t="shared" si="18"/>
        <v>0</v>
      </c>
    </row>
    <row r="101" spans="1:16">
      <c r="B101" s="9"/>
      <c r="C101" s="157">
        <f>IF(D93="","-",+C100+1)</f>
        <v>2008</v>
      </c>
      <c r="D101" s="366">
        <v>376159</v>
      </c>
      <c r="E101" s="372">
        <v>7316</v>
      </c>
      <c r="F101" s="371">
        <v>368843</v>
      </c>
      <c r="G101" s="371">
        <v>372501</v>
      </c>
      <c r="H101" s="368">
        <v>66486</v>
      </c>
      <c r="I101" s="370">
        <v>66486</v>
      </c>
      <c r="J101" s="162">
        <f t="shared" si="17"/>
        <v>0</v>
      </c>
      <c r="K101" s="162"/>
      <c r="L101" s="338">
        <v>66486</v>
      </c>
      <c r="M101" s="162">
        <f>IF(L101&lt;&gt;"",+H101-L101,0)</f>
        <v>0</v>
      </c>
      <c r="N101" s="338">
        <v>66486</v>
      </c>
      <c r="O101" s="162">
        <f>IF(N101&lt;&gt;"",+I101-N101,0)</f>
        <v>0</v>
      </c>
      <c r="P101" s="162">
        <f t="shared" si="18"/>
        <v>0</v>
      </c>
    </row>
    <row r="102" spans="1:16">
      <c r="B102" s="9"/>
      <c r="C102" s="157">
        <f>IF(D93="","-",+C101+1)</f>
        <v>2009</v>
      </c>
      <c r="D102" s="366">
        <v>369022</v>
      </c>
      <c r="E102" s="368">
        <v>6924</v>
      </c>
      <c r="F102" s="371">
        <v>362098</v>
      </c>
      <c r="G102" s="371">
        <v>365560</v>
      </c>
      <c r="H102" s="368">
        <v>60371.899487403767</v>
      </c>
      <c r="I102" s="370">
        <v>60371.899487403767</v>
      </c>
      <c r="J102" s="162">
        <f t="shared" si="17"/>
        <v>0</v>
      </c>
      <c r="K102" s="162"/>
      <c r="L102" s="338">
        <f t="shared" ref="L102:L107" si="20">H102</f>
        <v>60371.899487403767</v>
      </c>
      <c r="M102" s="272">
        <f t="shared" ref="M102:M133" si="21">IF(L102&lt;&gt;0,+H102-L102,0)</f>
        <v>0</v>
      </c>
      <c r="N102" s="338">
        <f t="shared" ref="N102:N107" si="22">I102</f>
        <v>60371.899487403767</v>
      </c>
      <c r="O102" s="162">
        <f t="shared" ref="O102:O133" si="23">IF(N102&lt;&gt;0,+I102-N102,0)</f>
        <v>0</v>
      </c>
      <c r="P102" s="162">
        <f t="shared" si="18"/>
        <v>0</v>
      </c>
    </row>
    <row r="103" spans="1:16">
      <c r="B103" s="9" t="str">
        <f t="shared" si="19"/>
        <v/>
      </c>
      <c r="C103" s="157">
        <f>IF(D93="","-",+C102+1)</f>
        <v>2010</v>
      </c>
      <c r="D103" s="366">
        <v>362098</v>
      </c>
      <c r="E103" s="368">
        <v>7603</v>
      </c>
      <c r="F103" s="371">
        <v>354495</v>
      </c>
      <c r="G103" s="371">
        <v>358296.5</v>
      </c>
      <c r="H103" s="368">
        <v>65222.531099646738</v>
      </c>
      <c r="I103" s="370">
        <v>65222.531099646738</v>
      </c>
      <c r="J103" s="162">
        <f t="shared" si="17"/>
        <v>0</v>
      </c>
      <c r="K103" s="162"/>
      <c r="L103" s="380">
        <f t="shared" si="20"/>
        <v>65222.531099646738</v>
      </c>
      <c r="M103" s="381">
        <f t="shared" si="21"/>
        <v>0</v>
      </c>
      <c r="N103" s="380">
        <f t="shared" si="22"/>
        <v>65222.531099646738</v>
      </c>
      <c r="O103" s="162">
        <f t="shared" si="23"/>
        <v>0</v>
      </c>
      <c r="P103" s="162">
        <f t="shared" si="18"/>
        <v>0</v>
      </c>
    </row>
    <row r="104" spans="1:16">
      <c r="B104" s="9" t="str">
        <f t="shared" si="19"/>
        <v/>
      </c>
      <c r="C104" s="157">
        <f>IF(D93="","-",+C103+1)</f>
        <v>2011</v>
      </c>
      <c r="D104" s="366">
        <v>354495</v>
      </c>
      <c r="E104" s="368">
        <v>7457</v>
      </c>
      <c r="F104" s="371">
        <v>347038</v>
      </c>
      <c r="G104" s="371">
        <v>350766.5</v>
      </c>
      <c r="H104" s="368">
        <v>56498.870276795831</v>
      </c>
      <c r="I104" s="370">
        <v>56498.870276795831</v>
      </c>
      <c r="J104" s="162">
        <f t="shared" si="17"/>
        <v>0</v>
      </c>
      <c r="K104" s="162"/>
      <c r="L104" s="380">
        <f t="shared" si="20"/>
        <v>56498.870276795831</v>
      </c>
      <c r="M104" s="381">
        <f t="shared" si="21"/>
        <v>0</v>
      </c>
      <c r="N104" s="380">
        <f t="shared" si="22"/>
        <v>56498.870276795831</v>
      </c>
      <c r="O104" s="162">
        <f t="shared" si="23"/>
        <v>0</v>
      </c>
      <c r="P104" s="162">
        <f t="shared" si="18"/>
        <v>0</v>
      </c>
    </row>
    <row r="105" spans="1:16">
      <c r="B105" s="9" t="str">
        <f t="shared" si="19"/>
        <v/>
      </c>
      <c r="C105" s="157">
        <f>IF(D93="","-",+C104+1)</f>
        <v>2012</v>
      </c>
      <c r="D105" s="366">
        <v>347038</v>
      </c>
      <c r="E105" s="368">
        <v>7457</v>
      </c>
      <c r="F105" s="371">
        <v>339581</v>
      </c>
      <c r="G105" s="371">
        <v>343309.5</v>
      </c>
      <c r="H105" s="368">
        <v>56843.953528154576</v>
      </c>
      <c r="I105" s="370">
        <v>56843.953528154576</v>
      </c>
      <c r="J105" s="162">
        <v>0</v>
      </c>
      <c r="K105" s="162"/>
      <c r="L105" s="380">
        <f t="shared" si="20"/>
        <v>56843.953528154576</v>
      </c>
      <c r="M105" s="381">
        <f>IF(L105&lt;&gt;0,+H105-L105,0)</f>
        <v>0</v>
      </c>
      <c r="N105" s="380">
        <f t="shared" si="22"/>
        <v>56843.953528154576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19"/>
        <v/>
      </c>
      <c r="C106" s="157">
        <f>IF(D93="","-",+C105+1)</f>
        <v>2013</v>
      </c>
      <c r="D106" s="366">
        <v>339581</v>
      </c>
      <c r="E106" s="368">
        <v>7457</v>
      </c>
      <c r="F106" s="371">
        <v>332124</v>
      </c>
      <c r="G106" s="371">
        <v>335852.5</v>
      </c>
      <c r="H106" s="368">
        <v>55799.472473591821</v>
      </c>
      <c r="I106" s="370">
        <v>55799.472473591821</v>
      </c>
      <c r="J106" s="162">
        <v>0</v>
      </c>
      <c r="K106" s="162"/>
      <c r="L106" s="380">
        <f t="shared" si="20"/>
        <v>55799.472473591821</v>
      </c>
      <c r="M106" s="381">
        <f>IF(L106&lt;&gt;0,+H106-L106,0)</f>
        <v>0</v>
      </c>
      <c r="N106" s="380">
        <f t="shared" si="22"/>
        <v>55799.472473591821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19"/>
        <v/>
      </c>
      <c r="C107" s="157">
        <f>IF(D93="","-",+C106+1)</f>
        <v>2014</v>
      </c>
      <c r="D107" s="366">
        <v>332124</v>
      </c>
      <c r="E107" s="368">
        <v>7457</v>
      </c>
      <c r="F107" s="371">
        <v>324667</v>
      </c>
      <c r="G107" s="371">
        <v>328395.5</v>
      </c>
      <c r="H107" s="368">
        <v>53628.064898886892</v>
      </c>
      <c r="I107" s="370">
        <v>53628.064898886892</v>
      </c>
      <c r="J107" s="162">
        <v>0</v>
      </c>
      <c r="K107" s="162"/>
      <c r="L107" s="380">
        <f t="shared" si="20"/>
        <v>53628.064898886892</v>
      </c>
      <c r="M107" s="381">
        <f>IF(L107&lt;&gt;0,+H107-L107,0)</f>
        <v>0</v>
      </c>
      <c r="N107" s="380">
        <f t="shared" si="22"/>
        <v>53628.064898886892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19"/>
        <v/>
      </c>
      <c r="C108" s="157">
        <f>IF(D93="","-",+C107+1)</f>
        <v>2015</v>
      </c>
      <c r="D108" s="366">
        <v>324667</v>
      </c>
      <c r="E108" s="368">
        <v>7457</v>
      </c>
      <c r="F108" s="371">
        <v>317210</v>
      </c>
      <c r="G108" s="371">
        <v>320938.5</v>
      </c>
      <c r="H108" s="368">
        <v>51246.477852296055</v>
      </c>
      <c r="I108" s="370">
        <v>51246.477852296055</v>
      </c>
      <c r="J108" s="162">
        <f t="shared" si="17"/>
        <v>0</v>
      </c>
      <c r="K108" s="162"/>
      <c r="L108" s="380">
        <f>H108</f>
        <v>51246.477852296055</v>
      </c>
      <c r="M108" s="381">
        <f>IF(L108&lt;&gt;0,+H108-L108,0)</f>
        <v>0</v>
      </c>
      <c r="N108" s="380">
        <f>I108</f>
        <v>51246.477852296055</v>
      </c>
      <c r="O108" s="162">
        <f>IF(N108&lt;&gt;0,+I108-N108,0)</f>
        <v>0</v>
      </c>
      <c r="P108" s="162">
        <f>+O108-M108</f>
        <v>0</v>
      </c>
    </row>
    <row r="109" spans="1:16">
      <c r="B109" s="9" t="str">
        <f t="shared" si="19"/>
        <v/>
      </c>
      <c r="C109" s="157">
        <f>IF(D93="","-",+C108+1)</f>
        <v>2016</v>
      </c>
      <c r="D109" s="366">
        <v>317210</v>
      </c>
      <c r="E109" s="368">
        <v>8429</v>
      </c>
      <c r="F109" s="371">
        <v>308781</v>
      </c>
      <c r="G109" s="371">
        <v>312995.5</v>
      </c>
      <c r="H109" s="368">
        <v>48779.04927680167</v>
      </c>
      <c r="I109" s="370">
        <v>48779.04927680167</v>
      </c>
      <c r="J109" s="162">
        <v>0</v>
      </c>
      <c r="K109" s="162"/>
      <c r="L109" s="380">
        <f>H109</f>
        <v>48779.04927680167</v>
      </c>
      <c r="M109" s="381">
        <f>IF(L109&lt;&gt;0,+H109-L109,0)</f>
        <v>0</v>
      </c>
      <c r="N109" s="380">
        <f>I109</f>
        <v>48779.04927680167</v>
      </c>
      <c r="O109" s="162">
        <f>IF(N109&lt;&gt;0,+I109-N109,0)</f>
        <v>0</v>
      </c>
      <c r="P109" s="162">
        <f>+O109-M109</f>
        <v>0</v>
      </c>
    </row>
    <row r="110" spans="1:16">
      <c r="B110" s="9" t="str">
        <f t="shared" si="19"/>
        <v/>
      </c>
      <c r="C110" s="157">
        <f>IF(D93="","-",+C109+1)</f>
        <v>2017</v>
      </c>
      <c r="D110" s="158">
        <f>IF(F109+SUM(E$99:E109)=D$92,F109,D$92-SUM(E$99:E109))</f>
        <v>308781</v>
      </c>
      <c r="E110" s="165">
        <f>IF(+J96&lt;F109,J96,D110)</f>
        <v>8429</v>
      </c>
      <c r="F110" s="163">
        <f t="shared" ref="F110:F130" si="24">+D110-E110</f>
        <v>300352</v>
      </c>
      <c r="G110" s="163">
        <f t="shared" ref="G110:G130" si="25">+(F110+D110)/2</f>
        <v>304566.5</v>
      </c>
      <c r="H110" s="167">
        <f t="shared" ref="H110:H154" si="26">+J$94*G110+E110</f>
        <v>47064.028489702585</v>
      </c>
      <c r="I110" s="317">
        <f t="shared" ref="I110:I154" si="27">+J$95*G110+E110</f>
        <v>47064.028489702585</v>
      </c>
      <c r="J110" s="162">
        <f t="shared" si="17"/>
        <v>0</v>
      </c>
      <c r="K110" s="162"/>
      <c r="L110" s="335"/>
      <c r="M110" s="162">
        <f t="shared" si="21"/>
        <v>0</v>
      </c>
      <c r="N110" s="335"/>
      <c r="O110" s="162">
        <f t="shared" si="23"/>
        <v>0</v>
      </c>
      <c r="P110" s="162">
        <f t="shared" si="18"/>
        <v>0</v>
      </c>
    </row>
    <row r="111" spans="1:16">
      <c r="B111" s="9" t="str">
        <f t="shared" si="19"/>
        <v/>
      </c>
      <c r="C111" s="157">
        <f>IF(D93="","-",+C110+1)</f>
        <v>2018</v>
      </c>
      <c r="D111" s="158">
        <f>IF(F110+SUM(E$99:E110)=D$92,F110,D$92-SUM(E$99:E110))</f>
        <v>300352</v>
      </c>
      <c r="E111" s="165">
        <f>IF(+J96&lt;F110,J96,D111)</f>
        <v>8429</v>
      </c>
      <c r="F111" s="163">
        <f t="shared" si="24"/>
        <v>291923</v>
      </c>
      <c r="G111" s="163">
        <f t="shared" si="25"/>
        <v>296137.5</v>
      </c>
      <c r="H111" s="167">
        <f t="shared" si="26"/>
        <v>45994.788585971539</v>
      </c>
      <c r="I111" s="317">
        <f t="shared" si="27"/>
        <v>45994.788585971539</v>
      </c>
      <c r="J111" s="162">
        <f t="shared" si="17"/>
        <v>0</v>
      </c>
      <c r="K111" s="162"/>
      <c r="L111" s="335"/>
      <c r="M111" s="162">
        <f t="shared" si="21"/>
        <v>0</v>
      </c>
      <c r="N111" s="335"/>
      <c r="O111" s="162">
        <f t="shared" si="23"/>
        <v>0</v>
      </c>
      <c r="P111" s="162">
        <f t="shared" si="18"/>
        <v>0</v>
      </c>
    </row>
    <row r="112" spans="1:16">
      <c r="B112" s="9" t="str">
        <f t="shared" si="19"/>
        <v/>
      </c>
      <c r="C112" s="157">
        <f>IF(D93="","-",+C111+1)</f>
        <v>2019</v>
      </c>
      <c r="D112" s="158">
        <f>IF(F111+SUM(E$99:E111)=D$92,F111,D$92-SUM(E$99:E111))</f>
        <v>291923</v>
      </c>
      <c r="E112" s="165">
        <f>IF(+J96&lt;F111,J96,D112)</f>
        <v>8429</v>
      </c>
      <c r="F112" s="163">
        <f t="shared" si="24"/>
        <v>283494</v>
      </c>
      <c r="G112" s="163">
        <f t="shared" si="25"/>
        <v>287708.5</v>
      </c>
      <c r="H112" s="167">
        <f t="shared" si="26"/>
        <v>44925.548682240486</v>
      </c>
      <c r="I112" s="317">
        <f t="shared" si="27"/>
        <v>44925.548682240486</v>
      </c>
      <c r="J112" s="162">
        <f t="shared" si="17"/>
        <v>0</v>
      </c>
      <c r="K112" s="162"/>
      <c r="L112" s="335"/>
      <c r="M112" s="162">
        <f t="shared" si="21"/>
        <v>0</v>
      </c>
      <c r="N112" s="335"/>
      <c r="O112" s="162">
        <f t="shared" si="23"/>
        <v>0</v>
      </c>
      <c r="P112" s="162">
        <f t="shared" si="18"/>
        <v>0</v>
      </c>
    </row>
    <row r="113" spans="2:16">
      <c r="B113" s="9" t="str">
        <f t="shared" si="19"/>
        <v/>
      </c>
      <c r="C113" s="157">
        <f>IF(D93="","-",+C112+1)</f>
        <v>2020</v>
      </c>
      <c r="D113" s="158">
        <f>IF(F112+SUM(E$99:E112)=D$92,F112,D$92-SUM(E$99:E112))</f>
        <v>283494</v>
      </c>
      <c r="E113" s="165">
        <f>IF(+J96&lt;F112,J96,D113)</f>
        <v>8429</v>
      </c>
      <c r="F113" s="163">
        <f t="shared" si="24"/>
        <v>275065</v>
      </c>
      <c r="G113" s="163">
        <f t="shared" si="25"/>
        <v>279279.5</v>
      </c>
      <c r="H113" s="167">
        <f t="shared" si="26"/>
        <v>43856.308778509432</v>
      </c>
      <c r="I113" s="317">
        <f t="shared" si="27"/>
        <v>43856.308778509432</v>
      </c>
      <c r="J113" s="162">
        <f t="shared" si="17"/>
        <v>0</v>
      </c>
      <c r="K113" s="162"/>
      <c r="L113" s="335"/>
      <c r="M113" s="162">
        <f t="shared" si="21"/>
        <v>0</v>
      </c>
      <c r="N113" s="335"/>
      <c r="O113" s="162">
        <f t="shared" si="23"/>
        <v>0</v>
      </c>
      <c r="P113" s="162">
        <f t="shared" si="18"/>
        <v>0</v>
      </c>
    </row>
    <row r="114" spans="2:16">
      <c r="B114" s="9" t="str">
        <f t="shared" si="19"/>
        <v/>
      </c>
      <c r="C114" s="157">
        <f>IF(D93="","-",+C113+1)</f>
        <v>2021</v>
      </c>
      <c r="D114" s="158">
        <f>IF(F113+SUM(E$99:E113)=D$92,F113,D$92-SUM(E$99:E113))</f>
        <v>275065</v>
      </c>
      <c r="E114" s="165">
        <f>IF(+J96&lt;F113,J96,D114)</f>
        <v>8429</v>
      </c>
      <c r="F114" s="163">
        <f t="shared" si="24"/>
        <v>266636</v>
      </c>
      <c r="G114" s="163">
        <f t="shared" si="25"/>
        <v>270850.5</v>
      </c>
      <c r="H114" s="167">
        <f t="shared" si="26"/>
        <v>42787.068874778386</v>
      </c>
      <c r="I114" s="317">
        <f t="shared" si="27"/>
        <v>42787.068874778386</v>
      </c>
      <c r="J114" s="162">
        <f t="shared" si="17"/>
        <v>0</v>
      </c>
      <c r="K114" s="162"/>
      <c r="L114" s="335"/>
      <c r="M114" s="162">
        <f t="shared" si="21"/>
        <v>0</v>
      </c>
      <c r="N114" s="335"/>
      <c r="O114" s="162">
        <f t="shared" si="23"/>
        <v>0</v>
      </c>
      <c r="P114" s="162">
        <f t="shared" si="18"/>
        <v>0</v>
      </c>
    </row>
    <row r="115" spans="2:16">
      <c r="B115" s="9" t="str">
        <f t="shared" si="19"/>
        <v/>
      </c>
      <c r="C115" s="157">
        <f>IF(D93="","-",+C114+1)</f>
        <v>2022</v>
      </c>
      <c r="D115" s="158">
        <f>IF(F114+SUM(E$99:E114)=D$92,F114,D$92-SUM(E$99:E114))</f>
        <v>266636</v>
      </c>
      <c r="E115" s="165">
        <f>IF(+J96&lt;F114,J96,D115)</f>
        <v>8429</v>
      </c>
      <c r="F115" s="163">
        <f t="shared" si="24"/>
        <v>258207</v>
      </c>
      <c r="G115" s="163">
        <f t="shared" si="25"/>
        <v>262421.5</v>
      </c>
      <c r="H115" s="167">
        <f t="shared" si="26"/>
        <v>41717.828971047333</v>
      </c>
      <c r="I115" s="317">
        <f t="shared" si="27"/>
        <v>41717.828971047333</v>
      </c>
      <c r="J115" s="162">
        <f t="shared" si="17"/>
        <v>0</v>
      </c>
      <c r="K115" s="162"/>
      <c r="L115" s="335"/>
      <c r="M115" s="162">
        <f t="shared" si="21"/>
        <v>0</v>
      </c>
      <c r="N115" s="335"/>
      <c r="O115" s="162">
        <f t="shared" si="23"/>
        <v>0</v>
      </c>
      <c r="P115" s="162">
        <f t="shared" si="18"/>
        <v>0</v>
      </c>
    </row>
    <row r="116" spans="2:16">
      <c r="B116" s="9" t="str">
        <f t="shared" si="19"/>
        <v/>
      </c>
      <c r="C116" s="157">
        <f>IF(D93="","-",+C115+1)</f>
        <v>2023</v>
      </c>
      <c r="D116" s="158">
        <f>IF(F115+SUM(E$99:E115)=D$92,F115,D$92-SUM(E$99:E115))</f>
        <v>258207</v>
      </c>
      <c r="E116" s="165">
        <f>IF(+J96&lt;F115,J96,D116)</f>
        <v>8429</v>
      </c>
      <c r="F116" s="163">
        <f t="shared" si="24"/>
        <v>249778</v>
      </c>
      <c r="G116" s="163">
        <f t="shared" si="25"/>
        <v>253992.5</v>
      </c>
      <c r="H116" s="167">
        <f t="shared" si="26"/>
        <v>40648.589067316279</v>
      </c>
      <c r="I116" s="317">
        <f t="shared" si="27"/>
        <v>40648.589067316279</v>
      </c>
      <c r="J116" s="162">
        <f t="shared" si="17"/>
        <v>0</v>
      </c>
      <c r="K116" s="162"/>
      <c r="L116" s="335"/>
      <c r="M116" s="162">
        <f t="shared" si="21"/>
        <v>0</v>
      </c>
      <c r="N116" s="335"/>
      <c r="O116" s="162">
        <f t="shared" si="23"/>
        <v>0</v>
      </c>
      <c r="P116" s="162">
        <f t="shared" si="18"/>
        <v>0</v>
      </c>
    </row>
    <row r="117" spans="2:16">
      <c r="B117" s="9" t="str">
        <f t="shared" si="19"/>
        <v/>
      </c>
      <c r="C117" s="157">
        <f>IF(D93="","-",+C116+1)</f>
        <v>2024</v>
      </c>
      <c r="D117" s="158">
        <f>IF(F116+SUM(E$99:E116)=D$92,F116,D$92-SUM(E$99:E116))</f>
        <v>249778</v>
      </c>
      <c r="E117" s="165">
        <f>IF(+J96&lt;F116,J96,D117)</f>
        <v>8429</v>
      </c>
      <c r="F117" s="163">
        <f t="shared" si="24"/>
        <v>241349</v>
      </c>
      <c r="G117" s="163">
        <f t="shared" si="25"/>
        <v>245563.5</v>
      </c>
      <c r="H117" s="167">
        <f t="shared" si="26"/>
        <v>39579.349163585226</v>
      </c>
      <c r="I117" s="317">
        <f t="shared" si="27"/>
        <v>39579.349163585226</v>
      </c>
      <c r="J117" s="162">
        <f t="shared" si="17"/>
        <v>0</v>
      </c>
      <c r="K117" s="162"/>
      <c r="L117" s="335"/>
      <c r="M117" s="162">
        <f t="shared" si="21"/>
        <v>0</v>
      </c>
      <c r="N117" s="335"/>
      <c r="O117" s="162">
        <f t="shared" si="23"/>
        <v>0</v>
      </c>
      <c r="P117" s="162">
        <f t="shared" si="18"/>
        <v>0</v>
      </c>
    </row>
    <row r="118" spans="2:16">
      <c r="B118" s="9" t="str">
        <f t="shared" si="19"/>
        <v/>
      </c>
      <c r="C118" s="157">
        <f>IF(D93="","-",+C117+1)</f>
        <v>2025</v>
      </c>
      <c r="D118" s="158">
        <f>IF(F117+SUM(E$99:E117)=D$92,F117,D$92-SUM(E$99:E117))</f>
        <v>241349</v>
      </c>
      <c r="E118" s="165">
        <f>IF(+J96&lt;F117,J96,D118)</f>
        <v>8429</v>
      </c>
      <c r="F118" s="163">
        <f t="shared" si="24"/>
        <v>232920</v>
      </c>
      <c r="G118" s="163">
        <f t="shared" si="25"/>
        <v>237134.5</v>
      </c>
      <c r="H118" s="167">
        <f t="shared" si="26"/>
        <v>38510.10925985418</v>
      </c>
      <c r="I118" s="317">
        <f t="shared" si="27"/>
        <v>38510.10925985418</v>
      </c>
      <c r="J118" s="162">
        <f t="shared" si="17"/>
        <v>0</v>
      </c>
      <c r="K118" s="162"/>
      <c r="L118" s="335"/>
      <c r="M118" s="162">
        <f t="shared" si="21"/>
        <v>0</v>
      </c>
      <c r="N118" s="335"/>
      <c r="O118" s="162">
        <f t="shared" si="23"/>
        <v>0</v>
      </c>
      <c r="P118" s="162">
        <f t="shared" si="18"/>
        <v>0</v>
      </c>
    </row>
    <row r="119" spans="2:16">
      <c r="B119" s="9" t="str">
        <f t="shared" si="19"/>
        <v/>
      </c>
      <c r="C119" s="157">
        <f>IF(D93="","-",+C118+1)</f>
        <v>2026</v>
      </c>
      <c r="D119" s="158">
        <f>IF(F118+SUM(E$99:E118)=D$92,F118,D$92-SUM(E$99:E118))</f>
        <v>232920</v>
      </c>
      <c r="E119" s="165">
        <f>IF(+J96&lt;F118,J96,D119)</f>
        <v>8429</v>
      </c>
      <c r="F119" s="163">
        <f t="shared" si="24"/>
        <v>224491</v>
      </c>
      <c r="G119" s="163">
        <f t="shared" si="25"/>
        <v>228705.5</v>
      </c>
      <c r="H119" s="167">
        <f t="shared" si="26"/>
        <v>37440.869356123134</v>
      </c>
      <c r="I119" s="317">
        <f t="shared" si="27"/>
        <v>37440.869356123134</v>
      </c>
      <c r="J119" s="162">
        <f t="shared" si="17"/>
        <v>0</v>
      </c>
      <c r="K119" s="162"/>
      <c r="L119" s="335"/>
      <c r="M119" s="162">
        <f t="shared" si="21"/>
        <v>0</v>
      </c>
      <c r="N119" s="335"/>
      <c r="O119" s="162">
        <f t="shared" si="23"/>
        <v>0</v>
      </c>
      <c r="P119" s="162">
        <f t="shared" si="18"/>
        <v>0</v>
      </c>
    </row>
    <row r="120" spans="2:16">
      <c r="B120" s="9" t="str">
        <f t="shared" si="19"/>
        <v/>
      </c>
      <c r="C120" s="157">
        <f>IF(D93="","-",+C119+1)</f>
        <v>2027</v>
      </c>
      <c r="D120" s="158">
        <f>IF(F119+SUM(E$99:E119)=D$92,F119,D$92-SUM(E$99:E119))</f>
        <v>224491</v>
      </c>
      <c r="E120" s="165">
        <f>IF(+J96&lt;F119,J96,D120)</f>
        <v>8429</v>
      </c>
      <c r="F120" s="163">
        <f t="shared" si="24"/>
        <v>216062</v>
      </c>
      <c r="G120" s="163">
        <f t="shared" si="25"/>
        <v>220276.5</v>
      </c>
      <c r="H120" s="167">
        <f t="shared" si="26"/>
        <v>36371.629452392081</v>
      </c>
      <c r="I120" s="317">
        <f t="shared" si="27"/>
        <v>36371.629452392081</v>
      </c>
      <c r="J120" s="162">
        <f t="shared" si="17"/>
        <v>0</v>
      </c>
      <c r="K120" s="162"/>
      <c r="L120" s="335"/>
      <c r="M120" s="162">
        <f t="shared" si="21"/>
        <v>0</v>
      </c>
      <c r="N120" s="335"/>
      <c r="O120" s="162">
        <f t="shared" si="23"/>
        <v>0</v>
      </c>
      <c r="P120" s="162">
        <f t="shared" si="18"/>
        <v>0</v>
      </c>
    </row>
    <row r="121" spans="2:16">
      <c r="B121" s="9" t="str">
        <f t="shared" si="19"/>
        <v/>
      </c>
      <c r="C121" s="157">
        <f>IF(D93="","-",+C120+1)</f>
        <v>2028</v>
      </c>
      <c r="D121" s="158">
        <f>IF(F120+SUM(E$99:E120)=D$92,F120,D$92-SUM(E$99:E120))</f>
        <v>216062</v>
      </c>
      <c r="E121" s="165">
        <f>IF(+J96&lt;F120,J96,D121)</f>
        <v>8429</v>
      </c>
      <c r="F121" s="163">
        <f t="shared" si="24"/>
        <v>207633</v>
      </c>
      <c r="G121" s="163">
        <f t="shared" si="25"/>
        <v>211847.5</v>
      </c>
      <c r="H121" s="167">
        <f t="shared" si="26"/>
        <v>35302.389548661027</v>
      </c>
      <c r="I121" s="317">
        <f t="shared" si="27"/>
        <v>35302.389548661027</v>
      </c>
      <c r="J121" s="162">
        <f t="shared" si="17"/>
        <v>0</v>
      </c>
      <c r="K121" s="162"/>
      <c r="L121" s="335"/>
      <c r="M121" s="162">
        <f t="shared" si="21"/>
        <v>0</v>
      </c>
      <c r="N121" s="335"/>
      <c r="O121" s="162">
        <f t="shared" si="23"/>
        <v>0</v>
      </c>
      <c r="P121" s="162">
        <f t="shared" si="18"/>
        <v>0</v>
      </c>
    </row>
    <row r="122" spans="2:16">
      <c r="B122" s="9" t="str">
        <f t="shared" si="19"/>
        <v/>
      </c>
      <c r="C122" s="157">
        <f>IF(D93="","-",+C121+1)</f>
        <v>2029</v>
      </c>
      <c r="D122" s="158">
        <f>IF(F121+SUM(E$99:E121)=D$92,F121,D$92-SUM(E$99:E121))</f>
        <v>207633</v>
      </c>
      <c r="E122" s="165">
        <f>IF(+J96&lt;F121,J96,D122)</f>
        <v>8429</v>
      </c>
      <c r="F122" s="163">
        <f t="shared" si="24"/>
        <v>199204</v>
      </c>
      <c r="G122" s="163">
        <f t="shared" si="25"/>
        <v>203418.5</v>
      </c>
      <c r="H122" s="167">
        <f t="shared" si="26"/>
        <v>34233.149644929974</v>
      </c>
      <c r="I122" s="317">
        <f t="shared" si="27"/>
        <v>34233.149644929974</v>
      </c>
      <c r="J122" s="162">
        <f t="shared" si="17"/>
        <v>0</v>
      </c>
      <c r="K122" s="162"/>
      <c r="L122" s="335"/>
      <c r="M122" s="162">
        <f t="shared" si="21"/>
        <v>0</v>
      </c>
      <c r="N122" s="335"/>
      <c r="O122" s="162">
        <f t="shared" si="23"/>
        <v>0</v>
      </c>
      <c r="P122" s="162">
        <f t="shared" si="18"/>
        <v>0</v>
      </c>
    </row>
    <row r="123" spans="2:16">
      <c r="B123" s="9" t="str">
        <f t="shared" si="19"/>
        <v/>
      </c>
      <c r="C123" s="157">
        <f>IF(D93="","-",+C122+1)</f>
        <v>2030</v>
      </c>
      <c r="D123" s="158">
        <f>IF(F122+SUM(E$99:E122)=D$92,F122,D$92-SUM(E$99:E122))</f>
        <v>199204</v>
      </c>
      <c r="E123" s="165">
        <f>IF(+J96&lt;F122,J96,D123)</f>
        <v>8429</v>
      </c>
      <c r="F123" s="163">
        <f t="shared" si="24"/>
        <v>190775</v>
      </c>
      <c r="G123" s="163">
        <f t="shared" si="25"/>
        <v>194989.5</v>
      </c>
      <c r="H123" s="167">
        <f t="shared" si="26"/>
        <v>33163.909741198921</v>
      </c>
      <c r="I123" s="317">
        <f t="shared" si="27"/>
        <v>33163.909741198921</v>
      </c>
      <c r="J123" s="162">
        <f t="shared" si="17"/>
        <v>0</v>
      </c>
      <c r="K123" s="162"/>
      <c r="L123" s="335"/>
      <c r="M123" s="162">
        <f t="shared" si="21"/>
        <v>0</v>
      </c>
      <c r="N123" s="335"/>
      <c r="O123" s="162">
        <f t="shared" si="23"/>
        <v>0</v>
      </c>
      <c r="P123" s="162">
        <f t="shared" si="18"/>
        <v>0</v>
      </c>
    </row>
    <row r="124" spans="2:16">
      <c r="B124" s="9" t="str">
        <f t="shared" si="19"/>
        <v/>
      </c>
      <c r="C124" s="157">
        <f>IF(D93="","-",+C123+1)</f>
        <v>2031</v>
      </c>
      <c r="D124" s="158">
        <f>IF(F123+SUM(E$99:E123)=D$92,F123,D$92-SUM(E$99:E123))</f>
        <v>190775</v>
      </c>
      <c r="E124" s="165">
        <f>IF(+J96&lt;F123,J96,D124)</f>
        <v>8429</v>
      </c>
      <c r="F124" s="163">
        <f t="shared" si="24"/>
        <v>182346</v>
      </c>
      <c r="G124" s="163">
        <f t="shared" si="25"/>
        <v>186560.5</v>
      </c>
      <c r="H124" s="167">
        <f t="shared" si="26"/>
        <v>32094.669837467874</v>
      </c>
      <c r="I124" s="317">
        <f t="shared" si="27"/>
        <v>32094.669837467874</v>
      </c>
      <c r="J124" s="162">
        <f t="shared" si="17"/>
        <v>0</v>
      </c>
      <c r="K124" s="162"/>
      <c r="L124" s="335"/>
      <c r="M124" s="162">
        <f t="shared" si="21"/>
        <v>0</v>
      </c>
      <c r="N124" s="335"/>
      <c r="O124" s="162">
        <f t="shared" si="23"/>
        <v>0</v>
      </c>
      <c r="P124" s="162">
        <f t="shared" si="18"/>
        <v>0</v>
      </c>
    </row>
    <row r="125" spans="2:16">
      <c r="B125" s="9" t="str">
        <f t="shared" si="19"/>
        <v/>
      </c>
      <c r="C125" s="157">
        <f>IF(D93="","-",+C124+1)</f>
        <v>2032</v>
      </c>
      <c r="D125" s="158">
        <f>IF(F124+SUM(E$99:E124)=D$92,F124,D$92-SUM(E$99:E124))</f>
        <v>182346</v>
      </c>
      <c r="E125" s="165">
        <f>IF(+J96&lt;F124,J96,D125)</f>
        <v>8429</v>
      </c>
      <c r="F125" s="163">
        <f t="shared" si="24"/>
        <v>173917</v>
      </c>
      <c r="G125" s="163">
        <f t="shared" si="25"/>
        <v>178131.5</v>
      </c>
      <c r="H125" s="167">
        <f t="shared" si="26"/>
        <v>31025.429933736825</v>
      </c>
      <c r="I125" s="317">
        <f t="shared" si="27"/>
        <v>31025.429933736825</v>
      </c>
      <c r="J125" s="162">
        <f t="shared" si="17"/>
        <v>0</v>
      </c>
      <c r="K125" s="162"/>
      <c r="L125" s="335"/>
      <c r="M125" s="162">
        <f t="shared" si="21"/>
        <v>0</v>
      </c>
      <c r="N125" s="335"/>
      <c r="O125" s="162">
        <f t="shared" si="23"/>
        <v>0</v>
      </c>
      <c r="P125" s="162">
        <f t="shared" si="18"/>
        <v>0</v>
      </c>
    </row>
    <row r="126" spans="2:16">
      <c r="B126" s="9" t="str">
        <f t="shared" si="19"/>
        <v/>
      </c>
      <c r="C126" s="157">
        <f>IF(D93="","-",+C125+1)</f>
        <v>2033</v>
      </c>
      <c r="D126" s="158">
        <f>IF(F125+SUM(E$99:E125)=D$92,F125,D$92-SUM(E$99:E125))</f>
        <v>173917</v>
      </c>
      <c r="E126" s="165">
        <f>IF(+J96&lt;F125,J96,D126)</f>
        <v>8429</v>
      </c>
      <c r="F126" s="163">
        <f t="shared" si="24"/>
        <v>165488</v>
      </c>
      <c r="G126" s="163">
        <f t="shared" si="25"/>
        <v>169702.5</v>
      </c>
      <c r="H126" s="167">
        <f t="shared" si="26"/>
        <v>29956.190030005771</v>
      </c>
      <c r="I126" s="317">
        <f t="shared" si="27"/>
        <v>29956.190030005771</v>
      </c>
      <c r="J126" s="162">
        <f t="shared" si="17"/>
        <v>0</v>
      </c>
      <c r="K126" s="162"/>
      <c r="L126" s="335"/>
      <c r="M126" s="162">
        <f t="shared" si="21"/>
        <v>0</v>
      </c>
      <c r="N126" s="335"/>
      <c r="O126" s="162">
        <f t="shared" si="23"/>
        <v>0</v>
      </c>
      <c r="P126" s="162">
        <f t="shared" si="18"/>
        <v>0</v>
      </c>
    </row>
    <row r="127" spans="2:16">
      <c r="B127" s="9" t="str">
        <f t="shared" si="19"/>
        <v/>
      </c>
      <c r="C127" s="157">
        <f>IF(D93="","-",+C126+1)</f>
        <v>2034</v>
      </c>
      <c r="D127" s="158">
        <f>IF(F126+SUM(E$99:E126)=D$92,F126,D$92-SUM(E$99:E126))</f>
        <v>165488</v>
      </c>
      <c r="E127" s="165">
        <f>IF(+J96&lt;F126,J96,D127)</f>
        <v>8429</v>
      </c>
      <c r="F127" s="163">
        <f t="shared" si="24"/>
        <v>157059</v>
      </c>
      <c r="G127" s="163">
        <f t="shared" si="25"/>
        <v>161273.5</v>
      </c>
      <c r="H127" s="167">
        <f t="shared" si="26"/>
        <v>28886.950126274722</v>
      </c>
      <c r="I127" s="317">
        <f t="shared" si="27"/>
        <v>28886.950126274722</v>
      </c>
      <c r="J127" s="162">
        <f t="shared" si="17"/>
        <v>0</v>
      </c>
      <c r="K127" s="162"/>
      <c r="L127" s="335"/>
      <c r="M127" s="162">
        <f t="shared" si="21"/>
        <v>0</v>
      </c>
      <c r="N127" s="335"/>
      <c r="O127" s="162">
        <f t="shared" si="23"/>
        <v>0</v>
      </c>
      <c r="P127" s="162">
        <f t="shared" si="18"/>
        <v>0</v>
      </c>
    </row>
    <row r="128" spans="2:16">
      <c r="B128" s="9" t="str">
        <f t="shared" si="19"/>
        <v/>
      </c>
      <c r="C128" s="157">
        <f>IF(D93="","-",+C127+1)</f>
        <v>2035</v>
      </c>
      <c r="D128" s="158">
        <f>IF(F127+SUM(E$99:E127)=D$92,F127,D$92-SUM(E$99:E127))</f>
        <v>157059</v>
      </c>
      <c r="E128" s="165">
        <f>IF(+J96&lt;F127,J96,D128)</f>
        <v>8429</v>
      </c>
      <c r="F128" s="163">
        <f t="shared" si="24"/>
        <v>148630</v>
      </c>
      <c r="G128" s="163">
        <f t="shared" si="25"/>
        <v>152844.5</v>
      </c>
      <c r="H128" s="167">
        <f t="shared" si="26"/>
        <v>27817.710222543672</v>
      </c>
      <c r="I128" s="317">
        <f t="shared" si="27"/>
        <v>27817.710222543672</v>
      </c>
      <c r="J128" s="162">
        <f t="shared" si="17"/>
        <v>0</v>
      </c>
      <c r="K128" s="162"/>
      <c r="L128" s="335"/>
      <c r="M128" s="162">
        <f t="shared" si="21"/>
        <v>0</v>
      </c>
      <c r="N128" s="335"/>
      <c r="O128" s="162">
        <f t="shared" si="23"/>
        <v>0</v>
      </c>
      <c r="P128" s="162">
        <f t="shared" si="18"/>
        <v>0</v>
      </c>
    </row>
    <row r="129" spans="2:16">
      <c r="B129" s="9" t="str">
        <f t="shared" si="19"/>
        <v/>
      </c>
      <c r="C129" s="157">
        <f>IF(D93="","-",+C128+1)</f>
        <v>2036</v>
      </c>
      <c r="D129" s="158">
        <f>IF(F128+SUM(E$99:E128)=D$92,F128,D$92-SUM(E$99:E128))</f>
        <v>148630</v>
      </c>
      <c r="E129" s="165">
        <f>IF(+J96&lt;F128,J96,D129)</f>
        <v>8429</v>
      </c>
      <c r="F129" s="163">
        <f t="shared" si="24"/>
        <v>140201</v>
      </c>
      <c r="G129" s="163">
        <f t="shared" si="25"/>
        <v>144415.5</v>
      </c>
      <c r="H129" s="167">
        <f t="shared" si="26"/>
        <v>26748.470318812619</v>
      </c>
      <c r="I129" s="317">
        <f t="shared" si="27"/>
        <v>26748.470318812619</v>
      </c>
      <c r="J129" s="162">
        <f t="shared" si="17"/>
        <v>0</v>
      </c>
      <c r="K129" s="162"/>
      <c r="L129" s="335"/>
      <c r="M129" s="162">
        <f t="shared" si="21"/>
        <v>0</v>
      </c>
      <c r="N129" s="335"/>
      <c r="O129" s="162">
        <f t="shared" si="23"/>
        <v>0</v>
      </c>
      <c r="P129" s="162">
        <f t="shared" si="18"/>
        <v>0</v>
      </c>
    </row>
    <row r="130" spans="2:16">
      <c r="B130" s="9" t="str">
        <f t="shared" si="19"/>
        <v/>
      </c>
      <c r="C130" s="157">
        <f>IF(D93="","-",+C129+1)</f>
        <v>2037</v>
      </c>
      <c r="D130" s="158">
        <f>IF(F129+SUM(E$99:E129)=D$92,F129,D$92-SUM(E$99:E129))</f>
        <v>140201</v>
      </c>
      <c r="E130" s="165">
        <f>IF(+J96&lt;F129,J96,D130)</f>
        <v>8429</v>
      </c>
      <c r="F130" s="163">
        <f t="shared" si="24"/>
        <v>131772</v>
      </c>
      <c r="G130" s="163">
        <f t="shared" si="25"/>
        <v>135986.5</v>
      </c>
      <c r="H130" s="167">
        <f t="shared" si="26"/>
        <v>25679.230415081569</v>
      </c>
      <c r="I130" s="317">
        <f t="shared" si="27"/>
        <v>25679.230415081569</v>
      </c>
      <c r="J130" s="162">
        <f t="shared" si="17"/>
        <v>0</v>
      </c>
      <c r="K130" s="162"/>
      <c r="L130" s="335"/>
      <c r="M130" s="162">
        <f t="shared" si="21"/>
        <v>0</v>
      </c>
      <c r="N130" s="335"/>
      <c r="O130" s="162">
        <f t="shared" si="23"/>
        <v>0</v>
      </c>
      <c r="P130" s="162">
        <f t="shared" si="18"/>
        <v>0</v>
      </c>
    </row>
    <row r="131" spans="2:16">
      <c r="B131" s="9" t="str">
        <f t="shared" si="19"/>
        <v/>
      </c>
      <c r="C131" s="157">
        <f>IF(D93="","-",+C130+1)</f>
        <v>2038</v>
      </c>
      <c r="D131" s="158">
        <f>IF(F130+SUM(E$99:E130)=D$92,F130,D$92-SUM(E$99:E130))</f>
        <v>131772</v>
      </c>
      <c r="E131" s="165">
        <f>IF(+J96&lt;F130,J96,D131)</f>
        <v>8429</v>
      </c>
      <c r="F131" s="163">
        <f t="shared" ref="F131:F154" si="28">+D131-E131</f>
        <v>123343</v>
      </c>
      <c r="G131" s="163">
        <f t="shared" ref="G131:G154" si="29">+(F131+D131)/2</f>
        <v>127557.5</v>
      </c>
      <c r="H131" s="167">
        <f t="shared" si="26"/>
        <v>24609.990511350519</v>
      </c>
      <c r="I131" s="317">
        <f t="shared" si="27"/>
        <v>24609.990511350519</v>
      </c>
      <c r="J131" s="162">
        <f t="shared" ref="J131:J154" si="30">+I131-H131</f>
        <v>0</v>
      </c>
      <c r="K131" s="162"/>
      <c r="L131" s="335"/>
      <c r="M131" s="162">
        <f t="shared" si="21"/>
        <v>0</v>
      </c>
      <c r="N131" s="335"/>
      <c r="O131" s="162">
        <f t="shared" si="23"/>
        <v>0</v>
      </c>
      <c r="P131" s="162">
        <f t="shared" ref="P131:P154" si="31">+O131-M131</f>
        <v>0</v>
      </c>
    </row>
    <row r="132" spans="2:16">
      <c r="B132" s="9" t="str">
        <f t="shared" si="19"/>
        <v/>
      </c>
      <c r="C132" s="157">
        <f>IF(D93="","-",+C131+1)</f>
        <v>2039</v>
      </c>
      <c r="D132" s="158">
        <f>IF(F131+SUM(E$99:E131)=D$92,F131,D$92-SUM(E$99:E131))</f>
        <v>123343</v>
      </c>
      <c r="E132" s="165">
        <f>IF(+J96&lt;F131,J96,D132)</f>
        <v>8429</v>
      </c>
      <c r="F132" s="163">
        <f t="shared" si="28"/>
        <v>114914</v>
      </c>
      <c r="G132" s="163">
        <f t="shared" si="29"/>
        <v>119128.5</v>
      </c>
      <c r="H132" s="167">
        <f t="shared" si="26"/>
        <v>23540.75060761947</v>
      </c>
      <c r="I132" s="317">
        <f t="shared" si="27"/>
        <v>23540.75060761947</v>
      </c>
      <c r="J132" s="162">
        <f t="shared" si="30"/>
        <v>0</v>
      </c>
      <c r="K132" s="162"/>
      <c r="L132" s="335"/>
      <c r="M132" s="162">
        <f t="shared" si="21"/>
        <v>0</v>
      </c>
      <c r="N132" s="335"/>
      <c r="O132" s="162">
        <f t="shared" si="23"/>
        <v>0</v>
      </c>
      <c r="P132" s="162">
        <f t="shared" si="31"/>
        <v>0</v>
      </c>
    </row>
    <row r="133" spans="2:16">
      <c r="B133" s="9" t="str">
        <f t="shared" si="19"/>
        <v/>
      </c>
      <c r="C133" s="157">
        <f>IF(D93="","-",+C132+1)</f>
        <v>2040</v>
      </c>
      <c r="D133" s="158">
        <f>IF(F132+SUM(E$99:E132)=D$92,F132,D$92-SUM(E$99:E132))</f>
        <v>114914</v>
      </c>
      <c r="E133" s="165">
        <f>IF(+J96&lt;F132,J96,D133)</f>
        <v>8429</v>
      </c>
      <c r="F133" s="163">
        <f t="shared" si="28"/>
        <v>106485</v>
      </c>
      <c r="G133" s="163">
        <f t="shared" si="29"/>
        <v>110699.5</v>
      </c>
      <c r="H133" s="167">
        <f t="shared" si="26"/>
        <v>22471.510703888416</v>
      </c>
      <c r="I133" s="317">
        <f t="shared" si="27"/>
        <v>22471.510703888416</v>
      </c>
      <c r="J133" s="162">
        <f t="shared" si="30"/>
        <v>0</v>
      </c>
      <c r="K133" s="162"/>
      <c r="L133" s="335"/>
      <c r="M133" s="162">
        <f t="shared" si="21"/>
        <v>0</v>
      </c>
      <c r="N133" s="335"/>
      <c r="O133" s="162">
        <f t="shared" si="23"/>
        <v>0</v>
      </c>
      <c r="P133" s="162">
        <f t="shared" si="31"/>
        <v>0</v>
      </c>
    </row>
    <row r="134" spans="2:16">
      <c r="B134" s="9" t="str">
        <f t="shared" si="19"/>
        <v/>
      </c>
      <c r="C134" s="157">
        <f>IF(D93="","-",+C133+1)</f>
        <v>2041</v>
      </c>
      <c r="D134" s="158">
        <f>IF(F133+SUM(E$99:E133)=D$92,F133,D$92-SUM(E$99:E133))</f>
        <v>106485</v>
      </c>
      <c r="E134" s="165">
        <f>IF(+J96&lt;F133,J96,D134)</f>
        <v>8429</v>
      </c>
      <c r="F134" s="163">
        <f t="shared" si="28"/>
        <v>98056</v>
      </c>
      <c r="G134" s="163">
        <f t="shared" si="29"/>
        <v>102270.5</v>
      </c>
      <c r="H134" s="167">
        <f t="shared" si="26"/>
        <v>21402.270800157366</v>
      </c>
      <c r="I134" s="317">
        <f t="shared" si="27"/>
        <v>21402.270800157366</v>
      </c>
      <c r="J134" s="162">
        <f t="shared" si="30"/>
        <v>0</v>
      </c>
      <c r="K134" s="162"/>
      <c r="L134" s="335"/>
      <c r="M134" s="162">
        <f t="shared" ref="M134:M154" si="32">IF(L134&lt;&gt;0,+H134-L134,0)</f>
        <v>0</v>
      </c>
      <c r="N134" s="335"/>
      <c r="O134" s="162">
        <f t="shared" ref="O134:O154" si="33">IF(N134&lt;&gt;0,+I134-N134,0)</f>
        <v>0</v>
      </c>
      <c r="P134" s="162">
        <f t="shared" si="31"/>
        <v>0</v>
      </c>
    </row>
    <row r="135" spans="2:16">
      <c r="B135" s="9" t="str">
        <f t="shared" si="19"/>
        <v/>
      </c>
      <c r="C135" s="157">
        <f>IF(D93="","-",+C134+1)</f>
        <v>2042</v>
      </c>
      <c r="D135" s="158">
        <f>IF(F134+SUM(E$99:E134)=D$92,F134,D$92-SUM(E$99:E134))</f>
        <v>98056</v>
      </c>
      <c r="E135" s="165">
        <f>IF(+J96&lt;F134,J96,D135)</f>
        <v>8429</v>
      </c>
      <c r="F135" s="163">
        <f t="shared" si="28"/>
        <v>89627</v>
      </c>
      <c r="G135" s="163">
        <f t="shared" si="29"/>
        <v>93841.5</v>
      </c>
      <c r="H135" s="167">
        <f t="shared" si="26"/>
        <v>20333.030896426317</v>
      </c>
      <c r="I135" s="317">
        <f t="shared" si="27"/>
        <v>20333.030896426317</v>
      </c>
      <c r="J135" s="162">
        <f t="shared" si="30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1"/>
        <v>0</v>
      </c>
    </row>
    <row r="136" spans="2:16">
      <c r="B136" s="9" t="str">
        <f t="shared" si="19"/>
        <v/>
      </c>
      <c r="C136" s="157">
        <f>IF(D93="","-",+C135+1)</f>
        <v>2043</v>
      </c>
      <c r="D136" s="158">
        <f>IF(F135+SUM(E$99:E135)=D$92,F135,D$92-SUM(E$99:E135))</f>
        <v>89627</v>
      </c>
      <c r="E136" s="165">
        <f>IF(+J96&lt;F135,J96,D136)</f>
        <v>8429</v>
      </c>
      <c r="F136" s="163">
        <f t="shared" si="28"/>
        <v>81198</v>
      </c>
      <c r="G136" s="163">
        <f t="shared" si="29"/>
        <v>85412.5</v>
      </c>
      <c r="H136" s="167">
        <f t="shared" si="26"/>
        <v>19263.790992695263</v>
      </c>
      <c r="I136" s="317">
        <f t="shared" si="27"/>
        <v>19263.790992695263</v>
      </c>
      <c r="J136" s="162">
        <f t="shared" si="30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1"/>
        <v>0</v>
      </c>
    </row>
    <row r="137" spans="2:16">
      <c r="B137" s="9" t="str">
        <f t="shared" si="19"/>
        <v/>
      </c>
      <c r="C137" s="157">
        <f>IF(D93="","-",+C136+1)</f>
        <v>2044</v>
      </c>
      <c r="D137" s="158">
        <f>IF(F136+SUM(E$99:E136)=D$92,F136,D$92-SUM(E$99:E136))</f>
        <v>81198</v>
      </c>
      <c r="E137" s="165">
        <f>IF(+J96&lt;F136,J96,D137)</f>
        <v>8429</v>
      </c>
      <c r="F137" s="163">
        <f t="shared" si="28"/>
        <v>72769</v>
      </c>
      <c r="G137" s="163">
        <f t="shared" si="29"/>
        <v>76983.5</v>
      </c>
      <c r="H137" s="167">
        <f t="shared" si="26"/>
        <v>18194.551088964214</v>
      </c>
      <c r="I137" s="317">
        <f t="shared" si="27"/>
        <v>18194.551088964214</v>
      </c>
      <c r="J137" s="162">
        <f t="shared" si="30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1"/>
        <v>0</v>
      </c>
    </row>
    <row r="138" spans="2:16">
      <c r="B138" s="9" t="str">
        <f t="shared" si="19"/>
        <v/>
      </c>
      <c r="C138" s="157">
        <f>IF(D93="","-",+C137+1)</f>
        <v>2045</v>
      </c>
      <c r="D138" s="158">
        <f>IF(F137+SUM(E$99:E137)=D$92,F137,D$92-SUM(E$99:E137))</f>
        <v>72769</v>
      </c>
      <c r="E138" s="165">
        <f>IF(+J96&lt;F137,J96,D138)</f>
        <v>8429</v>
      </c>
      <c r="F138" s="163">
        <f t="shared" si="28"/>
        <v>64340</v>
      </c>
      <c r="G138" s="163">
        <f t="shared" si="29"/>
        <v>68554.5</v>
      </c>
      <c r="H138" s="167">
        <f t="shared" si="26"/>
        <v>17125.311185233164</v>
      </c>
      <c r="I138" s="317">
        <f t="shared" si="27"/>
        <v>17125.311185233164</v>
      </c>
      <c r="J138" s="162">
        <f t="shared" si="30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1"/>
        <v>0</v>
      </c>
    </row>
    <row r="139" spans="2:16">
      <c r="B139" s="9" t="str">
        <f t="shared" si="19"/>
        <v/>
      </c>
      <c r="C139" s="157">
        <f>IF(D93="","-",+C138+1)</f>
        <v>2046</v>
      </c>
      <c r="D139" s="158">
        <f>IF(F138+SUM(E$99:E138)=D$92,F138,D$92-SUM(E$99:E138))</f>
        <v>64340</v>
      </c>
      <c r="E139" s="165">
        <f>IF(+J96&lt;F138,J96,D139)</f>
        <v>8429</v>
      </c>
      <c r="F139" s="163">
        <f t="shared" si="28"/>
        <v>55911</v>
      </c>
      <c r="G139" s="163">
        <f t="shared" si="29"/>
        <v>60125.5</v>
      </c>
      <c r="H139" s="167">
        <f t="shared" si="26"/>
        <v>16056.071281502111</v>
      </c>
      <c r="I139" s="317">
        <f t="shared" si="27"/>
        <v>16056.071281502111</v>
      </c>
      <c r="J139" s="162">
        <f t="shared" si="30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1"/>
        <v>0</v>
      </c>
    </row>
    <row r="140" spans="2:16">
      <c r="B140" s="9" t="str">
        <f t="shared" si="19"/>
        <v/>
      </c>
      <c r="C140" s="157">
        <f>IF(D93="","-",+C139+1)</f>
        <v>2047</v>
      </c>
      <c r="D140" s="158">
        <f>IF(F139+SUM(E$99:E139)=D$92,F139,D$92-SUM(E$99:E139))</f>
        <v>55911</v>
      </c>
      <c r="E140" s="165">
        <f>IF(+J96&lt;F139,J96,D140)</f>
        <v>8429</v>
      </c>
      <c r="F140" s="163">
        <f t="shared" si="28"/>
        <v>47482</v>
      </c>
      <c r="G140" s="163">
        <f t="shared" si="29"/>
        <v>51696.5</v>
      </c>
      <c r="H140" s="167">
        <f t="shared" si="26"/>
        <v>14986.831377771061</v>
      </c>
      <c r="I140" s="317">
        <f t="shared" si="27"/>
        <v>14986.831377771061</v>
      </c>
      <c r="J140" s="162">
        <f t="shared" si="30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1"/>
        <v>0</v>
      </c>
    </row>
    <row r="141" spans="2:16">
      <c r="B141" s="9" t="str">
        <f t="shared" si="19"/>
        <v/>
      </c>
      <c r="C141" s="157">
        <f>IF(D93="","-",+C140+1)</f>
        <v>2048</v>
      </c>
      <c r="D141" s="158">
        <f>IF(F140+SUM(E$99:E140)=D$92,F140,D$92-SUM(E$99:E140))</f>
        <v>47482</v>
      </c>
      <c r="E141" s="165">
        <f>IF(+J96&lt;F140,J96,D141)</f>
        <v>8429</v>
      </c>
      <c r="F141" s="163">
        <f t="shared" si="28"/>
        <v>39053</v>
      </c>
      <c r="G141" s="163">
        <f t="shared" si="29"/>
        <v>43267.5</v>
      </c>
      <c r="H141" s="167">
        <f t="shared" si="26"/>
        <v>13917.591474040011</v>
      </c>
      <c r="I141" s="317">
        <f t="shared" si="27"/>
        <v>13917.591474040011</v>
      </c>
      <c r="J141" s="162">
        <f t="shared" si="30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1"/>
        <v>0</v>
      </c>
    </row>
    <row r="142" spans="2:16">
      <c r="B142" s="9" t="str">
        <f t="shared" si="19"/>
        <v/>
      </c>
      <c r="C142" s="157">
        <f>IF(D93="","-",+C141+1)</f>
        <v>2049</v>
      </c>
      <c r="D142" s="158">
        <f>IF(F141+SUM(E$99:E141)=D$92,F141,D$92-SUM(E$99:E141))</f>
        <v>39053</v>
      </c>
      <c r="E142" s="165">
        <f>IF(+J96&lt;F141,J96,D142)</f>
        <v>8429</v>
      </c>
      <c r="F142" s="163">
        <f t="shared" si="28"/>
        <v>30624</v>
      </c>
      <c r="G142" s="163">
        <f t="shared" si="29"/>
        <v>34838.5</v>
      </c>
      <c r="H142" s="167">
        <f t="shared" si="26"/>
        <v>12848.351570308958</v>
      </c>
      <c r="I142" s="317">
        <f t="shared" si="27"/>
        <v>12848.351570308958</v>
      </c>
      <c r="J142" s="162">
        <f t="shared" si="30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1"/>
        <v>0</v>
      </c>
    </row>
    <row r="143" spans="2:16">
      <c r="B143" s="9" t="str">
        <f t="shared" si="19"/>
        <v/>
      </c>
      <c r="C143" s="157">
        <f>IF(D93="","-",+C142+1)</f>
        <v>2050</v>
      </c>
      <c r="D143" s="158">
        <f>IF(F142+SUM(E$99:E142)=D$92,F142,D$92-SUM(E$99:E142))</f>
        <v>30624</v>
      </c>
      <c r="E143" s="165">
        <f>IF(+J96&lt;F142,J96,D143)</f>
        <v>8429</v>
      </c>
      <c r="F143" s="163">
        <f t="shared" si="28"/>
        <v>22195</v>
      </c>
      <c r="G143" s="163">
        <f t="shared" si="29"/>
        <v>26409.5</v>
      </c>
      <c r="H143" s="167">
        <f t="shared" si="26"/>
        <v>11779.111666577908</v>
      </c>
      <c r="I143" s="317">
        <f t="shared" si="27"/>
        <v>11779.111666577908</v>
      </c>
      <c r="J143" s="162">
        <f t="shared" si="30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1"/>
        <v>0</v>
      </c>
    </row>
    <row r="144" spans="2:16">
      <c r="B144" s="9" t="str">
        <f t="shared" si="19"/>
        <v/>
      </c>
      <c r="C144" s="157">
        <f>IF(D93="","-",+C143+1)</f>
        <v>2051</v>
      </c>
      <c r="D144" s="158">
        <f>IF(F143+SUM(E$99:E143)=D$92,F143,D$92-SUM(E$99:E143))</f>
        <v>22195</v>
      </c>
      <c r="E144" s="165">
        <f>IF(+J96&lt;F143,J96,D144)</f>
        <v>8429</v>
      </c>
      <c r="F144" s="163">
        <f t="shared" si="28"/>
        <v>13766</v>
      </c>
      <c r="G144" s="163">
        <f t="shared" si="29"/>
        <v>17980.5</v>
      </c>
      <c r="H144" s="167">
        <f t="shared" si="26"/>
        <v>10709.871762846857</v>
      </c>
      <c r="I144" s="317">
        <f t="shared" si="27"/>
        <v>10709.871762846857</v>
      </c>
      <c r="J144" s="162">
        <f t="shared" si="30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1"/>
        <v>0</v>
      </c>
    </row>
    <row r="145" spans="2:16">
      <c r="B145" s="9" t="str">
        <f t="shared" si="19"/>
        <v/>
      </c>
      <c r="C145" s="157">
        <f>IF(D93="","-",+C144+1)</f>
        <v>2052</v>
      </c>
      <c r="D145" s="158">
        <f>IF(F144+SUM(E$99:E144)=D$92,F144,D$92-SUM(E$99:E144))</f>
        <v>13766</v>
      </c>
      <c r="E145" s="165">
        <f>IF(+J96&lt;F144,J96,D145)</f>
        <v>8429</v>
      </c>
      <c r="F145" s="163">
        <f t="shared" si="28"/>
        <v>5337</v>
      </c>
      <c r="G145" s="163">
        <f t="shared" si="29"/>
        <v>9551.5</v>
      </c>
      <c r="H145" s="167">
        <f t="shared" si="26"/>
        <v>9640.6318591158069</v>
      </c>
      <c r="I145" s="317">
        <f t="shared" si="27"/>
        <v>9640.6318591158069</v>
      </c>
      <c r="J145" s="162">
        <f t="shared" si="30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1"/>
        <v>0</v>
      </c>
    </row>
    <row r="146" spans="2:16">
      <c r="B146" s="9" t="str">
        <f t="shared" si="19"/>
        <v/>
      </c>
      <c r="C146" s="157">
        <f>IF(D93="","-",+C145+1)</f>
        <v>2053</v>
      </c>
      <c r="D146" s="158">
        <f>IF(F145+SUM(E$99:E145)=D$92,F145,D$92-SUM(E$99:E145))</f>
        <v>5337</v>
      </c>
      <c r="E146" s="165">
        <f>IF(+J96&lt;F145,J96,D146)</f>
        <v>5337</v>
      </c>
      <c r="F146" s="163">
        <f t="shared" si="28"/>
        <v>0</v>
      </c>
      <c r="G146" s="163">
        <f t="shared" si="29"/>
        <v>2668.5</v>
      </c>
      <c r="H146" s="167">
        <f t="shared" si="26"/>
        <v>5675.5059536251401</v>
      </c>
      <c r="I146" s="317">
        <f t="shared" si="27"/>
        <v>5675.5059536251401</v>
      </c>
      <c r="J146" s="162">
        <f t="shared" si="30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1"/>
        <v>0</v>
      </c>
    </row>
    <row r="147" spans="2:16">
      <c r="B147" s="9" t="str">
        <f t="shared" si="19"/>
        <v/>
      </c>
      <c r="C147" s="157">
        <f>IF(D93="","-",+C146+1)</f>
        <v>2054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8"/>
        <v>0</v>
      </c>
      <c r="G147" s="163">
        <f t="shared" si="29"/>
        <v>0</v>
      </c>
      <c r="H147" s="167">
        <f t="shared" si="26"/>
        <v>0</v>
      </c>
      <c r="I147" s="317">
        <f t="shared" si="27"/>
        <v>0</v>
      </c>
      <c r="J147" s="162">
        <f t="shared" si="30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1"/>
        <v>0</v>
      </c>
    </row>
    <row r="148" spans="2:16">
      <c r="B148" s="9" t="str">
        <f t="shared" si="19"/>
        <v/>
      </c>
      <c r="C148" s="157">
        <f>IF(D93="","-",+C147+1)</f>
        <v>2055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8"/>
        <v>0</v>
      </c>
      <c r="G148" s="163">
        <f t="shared" si="29"/>
        <v>0</v>
      </c>
      <c r="H148" s="167">
        <f t="shared" si="26"/>
        <v>0</v>
      </c>
      <c r="I148" s="317">
        <f t="shared" si="27"/>
        <v>0</v>
      </c>
      <c r="J148" s="162">
        <f t="shared" si="30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1"/>
        <v>0</v>
      </c>
    </row>
    <row r="149" spans="2:16">
      <c r="B149" s="9" t="str">
        <f t="shared" si="19"/>
        <v/>
      </c>
      <c r="C149" s="157">
        <f>IF(D93="","-",+C148+1)</f>
        <v>2056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8"/>
        <v>0</v>
      </c>
      <c r="G149" s="163">
        <f t="shared" si="29"/>
        <v>0</v>
      </c>
      <c r="H149" s="167">
        <f t="shared" si="26"/>
        <v>0</v>
      </c>
      <c r="I149" s="317">
        <f t="shared" si="27"/>
        <v>0</v>
      </c>
      <c r="J149" s="162">
        <f t="shared" si="30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1"/>
        <v>0</v>
      </c>
    </row>
    <row r="150" spans="2:16">
      <c r="B150" s="9" t="str">
        <f t="shared" si="19"/>
        <v/>
      </c>
      <c r="C150" s="157">
        <f>IF(D93="","-",+C149+1)</f>
        <v>2057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8"/>
        <v>0</v>
      </c>
      <c r="G150" s="163">
        <f t="shared" si="29"/>
        <v>0</v>
      </c>
      <c r="H150" s="167">
        <f t="shared" si="26"/>
        <v>0</v>
      </c>
      <c r="I150" s="317">
        <f t="shared" si="27"/>
        <v>0</v>
      </c>
      <c r="J150" s="162">
        <f t="shared" si="30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1"/>
        <v>0</v>
      </c>
    </row>
    <row r="151" spans="2:16">
      <c r="B151" s="9" t="str">
        <f t="shared" si="19"/>
        <v/>
      </c>
      <c r="C151" s="157">
        <f>IF(D93="","-",+C150+1)</f>
        <v>2058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8"/>
        <v>0</v>
      </c>
      <c r="G151" s="163">
        <f t="shared" si="29"/>
        <v>0</v>
      </c>
      <c r="H151" s="167">
        <f t="shared" si="26"/>
        <v>0</v>
      </c>
      <c r="I151" s="317">
        <f t="shared" si="27"/>
        <v>0</v>
      </c>
      <c r="J151" s="162">
        <f t="shared" si="30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1"/>
        <v>0</v>
      </c>
    </row>
    <row r="152" spans="2:16">
      <c r="B152" s="9" t="str">
        <f t="shared" si="19"/>
        <v/>
      </c>
      <c r="C152" s="157">
        <f>IF(D93="","-",+C151+1)</f>
        <v>2059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8"/>
        <v>0</v>
      </c>
      <c r="G152" s="163">
        <f t="shared" si="29"/>
        <v>0</v>
      </c>
      <c r="H152" s="167">
        <f t="shared" si="26"/>
        <v>0</v>
      </c>
      <c r="I152" s="317">
        <f t="shared" si="27"/>
        <v>0</v>
      </c>
      <c r="J152" s="162">
        <f t="shared" si="30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1"/>
        <v>0</v>
      </c>
    </row>
    <row r="153" spans="2:16">
      <c r="B153" s="9" t="str">
        <f t="shared" si="19"/>
        <v/>
      </c>
      <c r="C153" s="157">
        <f>IF(D93="","-",+C152+1)</f>
        <v>2060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8"/>
        <v>0</v>
      </c>
      <c r="G153" s="163">
        <f t="shared" si="29"/>
        <v>0</v>
      </c>
      <c r="H153" s="167">
        <f t="shared" si="26"/>
        <v>0</v>
      </c>
      <c r="I153" s="317">
        <f t="shared" si="27"/>
        <v>0</v>
      </c>
      <c r="J153" s="162">
        <f t="shared" si="30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1"/>
        <v>0</v>
      </c>
    </row>
    <row r="154" spans="2:16" ht="13.5" thickBot="1">
      <c r="B154" s="9" t="str">
        <f t="shared" si="19"/>
        <v/>
      </c>
      <c r="C154" s="168">
        <f>IF(D93="","-",+C153+1)</f>
        <v>2061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8"/>
        <v>0</v>
      </c>
      <c r="G154" s="169">
        <f t="shared" si="29"/>
        <v>0</v>
      </c>
      <c r="H154" s="171">
        <f t="shared" si="26"/>
        <v>0</v>
      </c>
      <c r="I154" s="318">
        <f t="shared" si="27"/>
        <v>0</v>
      </c>
      <c r="J154" s="173">
        <f t="shared" si="30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1"/>
        <v>0</v>
      </c>
    </row>
    <row r="155" spans="2:16">
      <c r="C155" s="158" t="s">
        <v>72</v>
      </c>
      <c r="D155" s="115"/>
      <c r="E155" s="115">
        <f>SUM(E99:E154)</f>
        <v>387742</v>
      </c>
      <c r="F155" s="115"/>
      <c r="G155" s="115"/>
      <c r="H155" s="115">
        <f>SUM(H99:H154)</f>
        <v>1607763.7111259333</v>
      </c>
      <c r="I155" s="115">
        <f>SUM(I99:I154)</f>
        <v>1607763.7111259333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143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50" priority="1" stopIfTrue="1" operator="equal">
      <formula>$I$10</formula>
    </cfRule>
  </conditionalFormatting>
  <conditionalFormatting sqref="C99:C154">
    <cfRule type="cellIs" dxfId="49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ignoredErrors>
    <ignoredError sqref="M101 O10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4"/>
  <dimension ref="A1:P162"/>
  <sheetViews>
    <sheetView view="pageBreakPreview" zoomScale="75" zoomScaleNormal="100" workbookViewId="0">
      <selection activeCell="C15" sqref="C14:C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6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174400.29611759563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174400.29611759563</v>
      </c>
      <c r="O6" s="1"/>
      <c r="P6" s="1"/>
    </row>
    <row r="7" spans="1:16" ht="13.5" thickBot="1">
      <c r="C7" s="127" t="s">
        <v>41</v>
      </c>
      <c r="D7" s="270" t="s">
        <v>79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80</v>
      </c>
      <c r="E9" s="428" t="s">
        <v>306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1520502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4</v>
      </c>
      <c r="E12" s="141" t="s">
        <v>51</v>
      </c>
      <c r="F12" s="139"/>
      <c r="G12" s="7"/>
      <c r="H12" s="7"/>
      <c r="I12" s="145">
        <f>PSO.WS.F.BPU.ATRR.Projected!$F$81</f>
        <v>0.11522430269379706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0.11522430269379706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38012.550000000003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2008</v>
      </c>
      <c r="D17" s="366">
        <v>1520473</v>
      </c>
      <c r="E17" s="367">
        <v>19125</v>
      </c>
      <c r="F17" s="366">
        <v>1501348</v>
      </c>
      <c r="G17" s="367">
        <v>0</v>
      </c>
      <c r="H17" s="370">
        <v>0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2009</v>
      </c>
      <c r="D18" s="371">
        <v>1501348</v>
      </c>
      <c r="E18" s="368">
        <v>28688</v>
      </c>
      <c r="F18" s="371">
        <v>1472660</v>
      </c>
      <c r="G18" s="368">
        <v>254309</v>
      </c>
      <c r="H18" s="370">
        <v>254309</v>
      </c>
      <c r="I18" s="160">
        <f t="shared" si="0"/>
        <v>0</v>
      </c>
      <c r="J18" s="160"/>
      <c r="K18" s="338">
        <v>254309</v>
      </c>
      <c r="L18" s="162">
        <f t="shared" si="1"/>
        <v>0</v>
      </c>
      <c r="M18" s="338">
        <v>254309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2010</v>
      </c>
      <c r="D19" s="371">
        <v>1472689</v>
      </c>
      <c r="E19" s="368">
        <v>27151.821428571428</v>
      </c>
      <c r="F19" s="371">
        <v>1445537.1785714286</v>
      </c>
      <c r="G19" s="368">
        <v>235737.79751815079</v>
      </c>
      <c r="H19" s="370">
        <v>235737.79751815079</v>
      </c>
      <c r="I19" s="160">
        <f t="shared" si="0"/>
        <v>0</v>
      </c>
      <c r="J19" s="160"/>
      <c r="K19" s="380">
        <f t="shared" ref="K19:K24" si="4">G19</f>
        <v>235737.79751815079</v>
      </c>
      <c r="L19" s="381">
        <f t="shared" si="1"/>
        <v>0</v>
      </c>
      <c r="M19" s="380">
        <f t="shared" ref="M19:M24" si="5">H19</f>
        <v>235737.79751815079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2011</v>
      </c>
      <c r="D20" s="371">
        <v>1445537.1785714286</v>
      </c>
      <c r="E20" s="368">
        <v>29813.764705882353</v>
      </c>
      <c r="F20" s="371">
        <v>1415723.4138655462</v>
      </c>
      <c r="G20" s="368">
        <v>251435.83921239444</v>
      </c>
      <c r="H20" s="370">
        <v>251435.83921239444</v>
      </c>
      <c r="I20" s="160">
        <f t="shared" si="0"/>
        <v>0</v>
      </c>
      <c r="J20" s="160"/>
      <c r="K20" s="338">
        <f t="shared" si="4"/>
        <v>251435.83921239444</v>
      </c>
      <c r="L20" s="272">
        <f t="shared" si="1"/>
        <v>0</v>
      </c>
      <c r="M20" s="338">
        <f t="shared" si="5"/>
        <v>251435.83921239444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IF(D11="","-",+C20+1)</f>
        <v>2012</v>
      </c>
      <c r="D21" s="371">
        <v>1415723.4138655462</v>
      </c>
      <c r="E21" s="368">
        <v>29240.423076923078</v>
      </c>
      <c r="F21" s="371">
        <v>1386482.9907886232</v>
      </c>
      <c r="G21" s="368">
        <v>222248.1918516063</v>
      </c>
      <c r="H21" s="370">
        <v>222248.1918516063</v>
      </c>
      <c r="I21" s="160">
        <f t="shared" si="0"/>
        <v>0</v>
      </c>
      <c r="J21" s="160"/>
      <c r="K21" s="338">
        <f t="shared" si="4"/>
        <v>222248.1918516063</v>
      </c>
      <c r="L21" s="272">
        <f t="shared" si="1"/>
        <v>0</v>
      </c>
      <c r="M21" s="338">
        <f t="shared" si="5"/>
        <v>222248.1918516063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6"/>
        <v/>
      </c>
      <c r="C22" s="157">
        <f>IF(D11="","-",+C21+1)</f>
        <v>2013</v>
      </c>
      <c r="D22" s="371">
        <v>1386482.9907886232</v>
      </c>
      <c r="E22" s="368">
        <v>29240.423076923078</v>
      </c>
      <c r="F22" s="371">
        <v>1357242.5677117002</v>
      </c>
      <c r="G22" s="368">
        <v>223063.83719618269</v>
      </c>
      <c r="H22" s="370">
        <v>223063.83719618269</v>
      </c>
      <c r="I22" s="160">
        <v>0</v>
      </c>
      <c r="J22" s="160"/>
      <c r="K22" s="338">
        <f t="shared" si="4"/>
        <v>223063.83719618269</v>
      </c>
      <c r="L22" s="272">
        <f t="shared" ref="L22:L27" si="7">IF(K22&lt;&gt;0,+G22-K22,0)</f>
        <v>0</v>
      </c>
      <c r="M22" s="338">
        <f t="shared" si="5"/>
        <v>223063.83719618269</v>
      </c>
      <c r="N22" s="162">
        <f t="shared" ref="N22:N27" si="8">IF(M22&lt;&gt;0,+H22-M22,0)</f>
        <v>0</v>
      </c>
      <c r="O22" s="162">
        <f t="shared" ref="O22:O27" si="9">+N22-L22</f>
        <v>0</v>
      </c>
      <c r="P22" s="4"/>
    </row>
    <row r="23" spans="2:16">
      <c r="B23" s="9" t="str">
        <f t="shared" si="6"/>
        <v/>
      </c>
      <c r="C23" s="157">
        <f>IF(D11="","-",+C22+1)</f>
        <v>2014</v>
      </c>
      <c r="D23" s="371">
        <v>1357242.5677117002</v>
      </c>
      <c r="E23" s="368">
        <v>29240.423076923078</v>
      </c>
      <c r="F23" s="371">
        <v>1328002.1446347772</v>
      </c>
      <c r="G23" s="368">
        <v>212051.56179808528</v>
      </c>
      <c r="H23" s="370">
        <v>212051.56179808528</v>
      </c>
      <c r="I23" s="160">
        <v>0</v>
      </c>
      <c r="J23" s="160"/>
      <c r="K23" s="338">
        <f t="shared" si="4"/>
        <v>212051.56179808528</v>
      </c>
      <c r="L23" s="272">
        <f t="shared" si="7"/>
        <v>0</v>
      </c>
      <c r="M23" s="338">
        <f t="shared" si="5"/>
        <v>212051.56179808528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2015</v>
      </c>
      <c r="D24" s="371">
        <v>1328002.1446347772</v>
      </c>
      <c r="E24" s="368">
        <v>29240.423076923078</v>
      </c>
      <c r="F24" s="371">
        <v>1298761.7215578542</v>
      </c>
      <c r="G24" s="368">
        <v>208302.85337289202</v>
      </c>
      <c r="H24" s="370">
        <v>208302.85337289202</v>
      </c>
      <c r="I24" s="160">
        <v>0</v>
      </c>
      <c r="J24" s="160"/>
      <c r="K24" s="338">
        <f t="shared" si="4"/>
        <v>208302.85337289202</v>
      </c>
      <c r="L24" s="272">
        <f t="shared" si="7"/>
        <v>0</v>
      </c>
      <c r="M24" s="338">
        <f t="shared" si="5"/>
        <v>208302.85337289202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2016</v>
      </c>
      <c r="D25" s="371">
        <v>1298761.7215578542</v>
      </c>
      <c r="E25" s="368">
        <v>29240.423076923078</v>
      </c>
      <c r="F25" s="371">
        <v>1269521.2984809312</v>
      </c>
      <c r="G25" s="368">
        <v>195750.37197477801</v>
      </c>
      <c r="H25" s="370">
        <v>195750.37197477801</v>
      </c>
      <c r="I25" s="160">
        <f t="shared" si="0"/>
        <v>0</v>
      </c>
      <c r="J25" s="160"/>
      <c r="K25" s="338">
        <f>G25</f>
        <v>195750.37197477801</v>
      </c>
      <c r="L25" s="272">
        <f t="shared" si="7"/>
        <v>0</v>
      </c>
      <c r="M25" s="338">
        <f>H25</f>
        <v>195750.37197477801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2017</v>
      </c>
      <c r="D26" s="371">
        <v>1269521.2984809312</v>
      </c>
      <c r="E26" s="368">
        <v>33054.391304347824</v>
      </c>
      <c r="F26" s="371">
        <v>1236466.9071765833</v>
      </c>
      <c r="G26" s="368">
        <v>190407.97942398797</v>
      </c>
      <c r="H26" s="370">
        <v>190407.97942398797</v>
      </c>
      <c r="I26" s="160">
        <v>0</v>
      </c>
      <c r="J26" s="160"/>
      <c r="K26" s="338">
        <f>G26</f>
        <v>190407.97942398797</v>
      </c>
      <c r="L26" s="272">
        <f t="shared" si="7"/>
        <v>0</v>
      </c>
      <c r="M26" s="338">
        <f>H26</f>
        <v>190407.97942398797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2018</v>
      </c>
      <c r="D27" s="371">
        <v>1236466.9071765833</v>
      </c>
      <c r="E27" s="368">
        <v>33788.933333333334</v>
      </c>
      <c r="F27" s="371">
        <v>1202677.97384325</v>
      </c>
      <c r="G27" s="368">
        <v>179843.63692519162</v>
      </c>
      <c r="H27" s="370">
        <v>179843.63692519162</v>
      </c>
      <c r="I27" s="160">
        <f t="shared" si="0"/>
        <v>0</v>
      </c>
      <c r="J27" s="160"/>
      <c r="K27" s="338">
        <f>G27</f>
        <v>179843.63692519162</v>
      </c>
      <c r="L27" s="272">
        <f t="shared" si="7"/>
        <v>0</v>
      </c>
      <c r="M27" s="338">
        <f>H27</f>
        <v>179843.63692519162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6"/>
        <v/>
      </c>
      <c r="C28" s="157">
        <f>IF(D11="","-",+C27+1)</f>
        <v>2019</v>
      </c>
      <c r="D28" s="163">
        <f>IF(F27+SUM(E$17:E27)=D$10,F27,D$10-SUM(E$17:E27))</f>
        <v>1202677.97384325</v>
      </c>
      <c r="E28" s="164">
        <f>IF(+I14&lt;F27,I14,D28)</f>
        <v>38012.550000000003</v>
      </c>
      <c r="F28" s="163">
        <f t="shared" ref="F28:F48" si="10">+D28-E28</f>
        <v>1164665.4238432499</v>
      </c>
      <c r="G28" s="165">
        <f t="shared" ref="G28:G72" si="11">(D28+F28)/2*I$12+E28</f>
        <v>174400.29611759563</v>
      </c>
      <c r="H28" s="147">
        <f t="shared" ref="H28:H72" si="12">+(D28+F28)/2*I$13+E28</f>
        <v>174400.29611759563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2020</v>
      </c>
      <c r="D29" s="163">
        <f>IF(F28+SUM(E$17:E28)=D$10,F28,D$10-SUM(E$17:E28))</f>
        <v>1164665.4238432499</v>
      </c>
      <c r="E29" s="164">
        <f>IF(+I14&lt;F28,I14,D29)</f>
        <v>38012.550000000003</v>
      </c>
      <c r="F29" s="163">
        <f t="shared" si="10"/>
        <v>1126652.8738432499</v>
      </c>
      <c r="G29" s="165">
        <f t="shared" si="11"/>
        <v>170020.32655023254</v>
      </c>
      <c r="H29" s="147">
        <f t="shared" si="12"/>
        <v>170020.32655023254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2021</v>
      </c>
      <c r="D30" s="163">
        <f>IF(F29+SUM(E$17:E29)=D$10,F29,D$10-SUM(E$17:E29))</f>
        <v>1126652.8738432499</v>
      </c>
      <c r="E30" s="164">
        <f>IF(+I14&lt;F29,I14,D30)</f>
        <v>38012.550000000003</v>
      </c>
      <c r="F30" s="163">
        <f t="shared" si="10"/>
        <v>1088640.3238432498</v>
      </c>
      <c r="G30" s="165">
        <f t="shared" si="11"/>
        <v>165640.35698286945</v>
      </c>
      <c r="H30" s="147">
        <f t="shared" si="12"/>
        <v>165640.35698286945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2022</v>
      </c>
      <c r="D31" s="163">
        <f>IF(F30+SUM(E$17:E30)=D$10,F30,D$10-SUM(E$17:E30))</f>
        <v>1088640.3238432498</v>
      </c>
      <c r="E31" s="164">
        <f>IF(+I14&lt;F30,I14,D31)</f>
        <v>38012.550000000003</v>
      </c>
      <c r="F31" s="163">
        <f t="shared" si="10"/>
        <v>1050627.7738432498</v>
      </c>
      <c r="G31" s="165">
        <f t="shared" si="11"/>
        <v>161260.38741550629</v>
      </c>
      <c r="H31" s="147">
        <f t="shared" si="12"/>
        <v>161260.38741550629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2023</v>
      </c>
      <c r="D32" s="163">
        <f>IF(F31+SUM(E$17:E31)=D$10,F31,D$10-SUM(E$17:E31))</f>
        <v>1050627.7738432498</v>
      </c>
      <c r="E32" s="164">
        <f>IF(+I14&lt;F31,I14,D32)</f>
        <v>38012.550000000003</v>
      </c>
      <c r="F32" s="163">
        <f t="shared" si="10"/>
        <v>1012615.2238432497</v>
      </c>
      <c r="G32" s="165">
        <f t="shared" si="11"/>
        <v>156880.41784814323</v>
      </c>
      <c r="H32" s="147">
        <f t="shared" si="12"/>
        <v>156880.41784814323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2024</v>
      </c>
      <c r="D33" s="163">
        <f>IF(F32+SUM(E$17:E32)=D$10,F32,D$10-SUM(E$17:E32))</f>
        <v>1012615.2238432497</v>
      </c>
      <c r="E33" s="164">
        <f>IF(+I14&lt;F32,I14,D33)</f>
        <v>38012.550000000003</v>
      </c>
      <c r="F33" s="163">
        <f t="shared" si="10"/>
        <v>974602.67384324968</v>
      </c>
      <c r="G33" s="165">
        <f t="shared" si="11"/>
        <v>152500.44828078011</v>
      </c>
      <c r="H33" s="147">
        <f t="shared" si="12"/>
        <v>152500.44828078011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2025</v>
      </c>
      <c r="D34" s="163">
        <f>IF(F33+SUM(E$17:E33)=D$10,F33,D$10-SUM(E$17:E33))</f>
        <v>974602.67384324968</v>
      </c>
      <c r="E34" s="164">
        <f>IF(+I14&lt;F33,I14,D34)</f>
        <v>38012.550000000003</v>
      </c>
      <c r="F34" s="163">
        <f t="shared" si="10"/>
        <v>936590.12384324963</v>
      </c>
      <c r="G34" s="165">
        <f t="shared" si="11"/>
        <v>148120.47871341702</v>
      </c>
      <c r="H34" s="147">
        <f t="shared" si="12"/>
        <v>148120.47871341702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2026</v>
      </c>
      <c r="D35" s="163">
        <f>IF(F34+SUM(E$17:E34)=D$10,F34,D$10-SUM(E$17:E34))</f>
        <v>936590.12384324963</v>
      </c>
      <c r="E35" s="164">
        <f>IF(+I14&lt;F34,I14,D35)</f>
        <v>38012.550000000003</v>
      </c>
      <c r="F35" s="163">
        <f t="shared" si="10"/>
        <v>898577.57384324959</v>
      </c>
      <c r="G35" s="165">
        <f t="shared" si="11"/>
        <v>143740.50914605393</v>
      </c>
      <c r="H35" s="147">
        <f t="shared" si="12"/>
        <v>143740.50914605393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2027</v>
      </c>
      <c r="D36" s="163">
        <f>IF(F35+SUM(E$17:E35)=D$10,F35,D$10-SUM(E$17:E35))</f>
        <v>898577.57384324959</v>
      </c>
      <c r="E36" s="164">
        <f>IF(+I14&lt;F35,I14,D36)</f>
        <v>38012.550000000003</v>
      </c>
      <c r="F36" s="163">
        <f t="shared" si="10"/>
        <v>860565.02384324954</v>
      </c>
      <c r="G36" s="165">
        <f t="shared" si="11"/>
        <v>139360.53957869083</v>
      </c>
      <c r="H36" s="147">
        <f t="shared" si="12"/>
        <v>139360.53957869083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2028</v>
      </c>
      <c r="D37" s="163">
        <f>IF(F36+SUM(E$17:E36)=D$10,F36,D$10-SUM(E$17:E36))</f>
        <v>860565.02384324954</v>
      </c>
      <c r="E37" s="164">
        <f>IF(+I14&lt;F36,I14,D37)</f>
        <v>38012.550000000003</v>
      </c>
      <c r="F37" s="163">
        <f t="shared" si="10"/>
        <v>822552.47384324949</v>
      </c>
      <c r="G37" s="165">
        <f t="shared" si="11"/>
        <v>134980.57001132774</v>
      </c>
      <c r="H37" s="147">
        <f t="shared" si="12"/>
        <v>134980.57001132774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2029</v>
      </c>
      <c r="D38" s="163">
        <f>IF(F37+SUM(E$17:E37)=D$10,F37,D$10-SUM(E$17:E37))</f>
        <v>822552.47384324949</v>
      </c>
      <c r="E38" s="164">
        <f>IF(+I14&lt;F37,I14,D38)</f>
        <v>38012.550000000003</v>
      </c>
      <c r="F38" s="163">
        <f t="shared" si="10"/>
        <v>784539.92384324945</v>
      </c>
      <c r="G38" s="165">
        <f t="shared" si="11"/>
        <v>130600.60044396462</v>
      </c>
      <c r="H38" s="147">
        <f t="shared" si="12"/>
        <v>130600.60044396462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2030</v>
      </c>
      <c r="D39" s="163">
        <f>IF(F38+SUM(E$17:E38)=D$10,F38,D$10-SUM(E$17:E38))</f>
        <v>784539.92384324945</v>
      </c>
      <c r="E39" s="164">
        <f>IF(+I14&lt;F38,I14,D39)</f>
        <v>38012.550000000003</v>
      </c>
      <c r="F39" s="163">
        <f t="shared" si="10"/>
        <v>746527.3738432494</v>
      </c>
      <c r="G39" s="165">
        <f t="shared" si="11"/>
        <v>126220.63087660153</v>
      </c>
      <c r="H39" s="147">
        <f t="shared" si="12"/>
        <v>126220.63087660153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2031</v>
      </c>
      <c r="D40" s="163">
        <f>IF(F39+SUM(E$17:E39)=D$10,F39,D$10-SUM(E$17:E39))</f>
        <v>746527.3738432494</v>
      </c>
      <c r="E40" s="164">
        <f>IF(+I14&lt;F39,I14,D40)</f>
        <v>38012.550000000003</v>
      </c>
      <c r="F40" s="163">
        <f t="shared" si="10"/>
        <v>708514.82384324935</v>
      </c>
      <c r="G40" s="165">
        <f t="shared" si="11"/>
        <v>121840.66130923842</v>
      </c>
      <c r="H40" s="147">
        <f t="shared" si="12"/>
        <v>121840.66130923842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2032</v>
      </c>
      <c r="D41" s="163">
        <f>IF(F40+SUM(E$17:E40)=D$10,F40,D$10-SUM(E$17:E40))</f>
        <v>708514.82384324935</v>
      </c>
      <c r="E41" s="164">
        <f>IF(+I14&lt;F40,I14,D41)</f>
        <v>38012.550000000003</v>
      </c>
      <c r="F41" s="163">
        <f t="shared" si="10"/>
        <v>670502.27384324931</v>
      </c>
      <c r="G41" s="165">
        <f t="shared" si="11"/>
        <v>117460.69174187531</v>
      </c>
      <c r="H41" s="147">
        <f t="shared" si="12"/>
        <v>117460.69174187531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2033</v>
      </c>
      <c r="D42" s="163">
        <f>IF(F41+SUM(E$17:E41)=D$10,F41,D$10-SUM(E$17:E41))</f>
        <v>670502.27384324931</v>
      </c>
      <c r="E42" s="164">
        <f>IF(+I14&lt;F41,I14,D42)</f>
        <v>38012.550000000003</v>
      </c>
      <c r="F42" s="163">
        <f t="shared" si="10"/>
        <v>632489.72384324926</v>
      </c>
      <c r="G42" s="165">
        <f t="shared" si="11"/>
        <v>113080.72217451222</v>
      </c>
      <c r="H42" s="147">
        <f t="shared" si="12"/>
        <v>113080.72217451222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2034</v>
      </c>
      <c r="D43" s="163">
        <f>IF(F42+SUM(E$17:E42)=D$10,F42,D$10-SUM(E$17:E42))</f>
        <v>632489.72384324926</v>
      </c>
      <c r="E43" s="164">
        <f>IF(+I14&lt;F42,I14,D43)</f>
        <v>38012.550000000003</v>
      </c>
      <c r="F43" s="163">
        <f t="shared" si="10"/>
        <v>594477.17384324921</v>
      </c>
      <c r="G43" s="165">
        <f t="shared" si="11"/>
        <v>108700.75260714912</v>
      </c>
      <c r="H43" s="147">
        <f t="shared" si="12"/>
        <v>108700.75260714912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2035</v>
      </c>
      <c r="D44" s="163">
        <f>IF(F43+SUM(E$17:E43)=D$10,F43,D$10-SUM(E$17:E43))</f>
        <v>594477.17384324921</v>
      </c>
      <c r="E44" s="164">
        <f>IF(+I14&lt;F43,I14,D44)</f>
        <v>38012.550000000003</v>
      </c>
      <c r="F44" s="163">
        <f t="shared" si="10"/>
        <v>556464.62384324917</v>
      </c>
      <c r="G44" s="165">
        <f t="shared" si="11"/>
        <v>104320.78303978602</v>
      </c>
      <c r="H44" s="147">
        <f t="shared" si="12"/>
        <v>104320.78303978602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2036</v>
      </c>
      <c r="D45" s="163">
        <f>IF(F44+SUM(E$17:E44)=D$10,F44,D$10-SUM(E$17:E44))</f>
        <v>556464.62384324917</v>
      </c>
      <c r="E45" s="164">
        <f>IF(+I14&lt;F44,I14,D45)</f>
        <v>38012.550000000003</v>
      </c>
      <c r="F45" s="163">
        <f t="shared" si="10"/>
        <v>518452.07384324918</v>
      </c>
      <c r="G45" s="165">
        <f t="shared" si="11"/>
        <v>99940.813472422917</v>
      </c>
      <c r="H45" s="147">
        <f t="shared" si="12"/>
        <v>99940.813472422917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2037</v>
      </c>
      <c r="D46" s="163">
        <f>IF(F45+SUM(E$17:E45)=D$10,F45,D$10-SUM(E$17:E45))</f>
        <v>518452.07384324918</v>
      </c>
      <c r="E46" s="164">
        <f>IF(+I14&lt;F45,I14,D46)</f>
        <v>38012.550000000003</v>
      </c>
      <c r="F46" s="163">
        <f t="shared" si="10"/>
        <v>480439.52384324919</v>
      </c>
      <c r="G46" s="165">
        <f t="shared" si="11"/>
        <v>95560.843905059824</v>
      </c>
      <c r="H46" s="147">
        <f t="shared" si="12"/>
        <v>95560.843905059824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2038</v>
      </c>
      <c r="D47" s="163">
        <f>IF(F46+SUM(E$17:E46)=D$10,F46,D$10-SUM(E$17:E46))</f>
        <v>480439.52384324919</v>
      </c>
      <c r="E47" s="164">
        <f>IF(+I14&lt;F46,I14,D47)</f>
        <v>38012.550000000003</v>
      </c>
      <c r="F47" s="163">
        <f t="shared" si="10"/>
        <v>442426.9738432492</v>
      </c>
      <c r="G47" s="165">
        <f t="shared" si="11"/>
        <v>91180.874337696732</v>
      </c>
      <c r="H47" s="147">
        <f t="shared" si="12"/>
        <v>91180.874337696732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2039</v>
      </c>
      <c r="D48" s="163">
        <f>IF(F47+SUM(E$17:E47)=D$10,F47,D$10-SUM(E$17:E47))</f>
        <v>442426.9738432492</v>
      </c>
      <c r="E48" s="164">
        <f>IF(+I14&lt;F47,I14,D48)</f>
        <v>38012.550000000003</v>
      </c>
      <c r="F48" s="163">
        <f t="shared" si="10"/>
        <v>404414.42384324921</v>
      </c>
      <c r="G48" s="165">
        <f t="shared" si="11"/>
        <v>86800.90477033364</v>
      </c>
      <c r="H48" s="147">
        <f t="shared" si="12"/>
        <v>86800.90477033364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2040</v>
      </c>
      <c r="D49" s="163">
        <f>IF(F48+SUM(E$17:E48)=D$10,F48,D$10-SUM(E$17:E48))</f>
        <v>404414.42384324921</v>
      </c>
      <c r="E49" s="164">
        <f>IF(+I14&lt;F48,I14,D49)</f>
        <v>38012.550000000003</v>
      </c>
      <c r="F49" s="163">
        <f t="shared" ref="F49:F72" si="13">+D49-E49</f>
        <v>366401.87384324922</v>
      </c>
      <c r="G49" s="165">
        <f t="shared" si="11"/>
        <v>82420.935202970548</v>
      </c>
      <c r="H49" s="147">
        <f t="shared" si="12"/>
        <v>82420.935202970548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6"/>
        <v/>
      </c>
      <c r="C50" s="157">
        <f>IF(D11="","-",+C49+1)</f>
        <v>2041</v>
      </c>
      <c r="D50" s="163">
        <f>IF(F49+SUM(E$17:E49)=D$10,F49,D$10-SUM(E$17:E49))</f>
        <v>366401.87384324922</v>
      </c>
      <c r="E50" s="164">
        <f>IF(+I14&lt;F49,I14,D50)</f>
        <v>38012.550000000003</v>
      </c>
      <c r="F50" s="163">
        <f t="shared" si="13"/>
        <v>328389.32384324924</v>
      </c>
      <c r="G50" s="165">
        <f t="shared" si="11"/>
        <v>78040.965635607456</v>
      </c>
      <c r="H50" s="147">
        <f t="shared" si="12"/>
        <v>78040.965635607456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6"/>
        <v/>
      </c>
      <c r="C51" s="157">
        <f>IF(D11="","-",+C50+1)</f>
        <v>2042</v>
      </c>
      <c r="D51" s="163">
        <f>IF(F50+SUM(E$17:E50)=D$10,F50,D$10-SUM(E$17:E50))</f>
        <v>328389.32384324924</v>
      </c>
      <c r="E51" s="164">
        <f>IF(+I14&lt;F50,I14,D51)</f>
        <v>38012.550000000003</v>
      </c>
      <c r="F51" s="163">
        <f t="shared" si="13"/>
        <v>290376.77384324925</v>
      </c>
      <c r="G51" s="165">
        <f t="shared" si="11"/>
        <v>73660.996068244349</v>
      </c>
      <c r="H51" s="147">
        <f t="shared" si="12"/>
        <v>73660.996068244349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6"/>
        <v/>
      </c>
      <c r="C52" s="157">
        <f>IF(D11="","-",+C51+1)</f>
        <v>2043</v>
      </c>
      <c r="D52" s="163">
        <f>IF(F51+SUM(E$17:E51)=D$10,F51,D$10-SUM(E$17:E51))</f>
        <v>290376.77384324925</v>
      </c>
      <c r="E52" s="164">
        <f>IF(+I14&lt;F51,I14,D52)</f>
        <v>38012.550000000003</v>
      </c>
      <c r="F52" s="163">
        <f t="shared" si="13"/>
        <v>252364.22384324926</v>
      </c>
      <c r="G52" s="165">
        <f t="shared" si="11"/>
        <v>69281.026500881271</v>
      </c>
      <c r="H52" s="147">
        <f t="shared" si="12"/>
        <v>69281.026500881271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6"/>
        <v/>
      </c>
      <c r="C53" s="157">
        <f>IF(D11="","-",+C52+1)</f>
        <v>2044</v>
      </c>
      <c r="D53" s="163">
        <f>IF(F52+SUM(E$17:E52)=D$10,F52,D$10-SUM(E$17:E52))</f>
        <v>252364.22384324926</v>
      </c>
      <c r="E53" s="164">
        <f>IF(+I14&lt;F52,I14,D53)</f>
        <v>38012.550000000003</v>
      </c>
      <c r="F53" s="163">
        <f t="shared" si="13"/>
        <v>214351.67384324927</v>
      </c>
      <c r="G53" s="165">
        <f t="shared" si="11"/>
        <v>64901.056933518164</v>
      </c>
      <c r="H53" s="147">
        <f t="shared" si="12"/>
        <v>64901.056933518164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6"/>
        <v/>
      </c>
      <c r="C54" s="157">
        <f>IF(D11="","-",+C53+1)</f>
        <v>2045</v>
      </c>
      <c r="D54" s="163">
        <f>IF(F53+SUM(E$17:E53)=D$10,F53,D$10-SUM(E$17:E53))</f>
        <v>214351.67384324927</v>
      </c>
      <c r="E54" s="164">
        <f>IF(+I14&lt;F53,I14,D54)</f>
        <v>38012.550000000003</v>
      </c>
      <c r="F54" s="163">
        <f t="shared" si="13"/>
        <v>176339.12384324928</v>
      </c>
      <c r="G54" s="165">
        <f t="shared" si="11"/>
        <v>60521.087366155072</v>
      </c>
      <c r="H54" s="147">
        <f t="shared" si="12"/>
        <v>60521.087366155072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6"/>
        <v/>
      </c>
      <c r="C55" s="157">
        <f>IF(D11="","-",+C54+1)</f>
        <v>2046</v>
      </c>
      <c r="D55" s="163">
        <f>IF(F54+SUM(E$17:E54)=D$10,F54,D$10-SUM(E$17:E54))</f>
        <v>176339.12384324928</v>
      </c>
      <c r="E55" s="164">
        <f>IF(+I14&lt;F54,I14,D55)</f>
        <v>38012.550000000003</v>
      </c>
      <c r="F55" s="163">
        <f t="shared" si="13"/>
        <v>138326.57384324929</v>
      </c>
      <c r="G55" s="165">
        <f t="shared" si="11"/>
        <v>56141.11779879198</v>
      </c>
      <c r="H55" s="147">
        <f t="shared" si="12"/>
        <v>56141.11779879198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6"/>
        <v/>
      </c>
      <c r="C56" s="157">
        <f>IF(D11="","-",+C55+1)</f>
        <v>2047</v>
      </c>
      <c r="D56" s="163">
        <f>IF(F55+SUM(E$17:E55)=D$10,F55,D$10-SUM(E$17:E55))</f>
        <v>138326.57384324929</v>
      </c>
      <c r="E56" s="164">
        <f>IF(+I14&lt;F55,I14,D56)</f>
        <v>38012.550000000003</v>
      </c>
      <c r="F56" s="163">
        <f t="shared" si="13"/>
        <v>100314.02384324929</v>
      </c>
      <c r="G56" s="165">
        <f t="shared" si="11"/>
        <v>51761.148231428888</v>
      </c>
      <c r="H56" s="147">
        <f t="shared" si="12"/>
        <v>51761.148231428888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6"/>
        <v/>
      </c>
      <c r="C57" s="157">
        <f>IF(D11="","-",+C56+1)</f>
        <v>2048</v>
      </c>
      <c r="D57" s="163">
        <f>IF(F56+SUM(E$17:E56)=D$10,F56,D$10-SUM(E$17:E56))</f>
        <v>100314.02384324929</v>
      </c>
      <c r="E57" s="164">
        <f>IF(+I14&lt;F56,I14,D57)</f>
        <v>38012.550000000003</v>
      </c>
      <c r="F57" s="163">
        <f t="shared" si="13"/>
        <v>62301.473843249289</v>
      </c>
      <c r="G57" s="165">
        <f t="shared" si="11"/>
        <v>47381.178664065788</v>
      </c>
      <c r="H57" s="147">
        <f t="shared" si="12"/>
        <v>47381.178664065788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6"/>
        <v/>
      </c>
      <c r="C58" s="157">
        <f>IF(D11="","-",+C57+1)</f>
        <v>2049</v>
      </c>
      <c r="D58" s="163">
        <f>IF(F57+SUM(E$17:E57)=D$10,F57,D$10-SUM(E$17:E57))</f>
        <v>62301.473843249289</v>
      </c>
      <c r="E58" s="164">
        <f>IF(+I14&lt;F57,I14,D58)</f>
        <v>38012.550000000003</v>
      </c>
      <c r="F58" s="163">
        <f t="shared" si="13"/>
        <v>24288.923843249286</v>
      </c>
      <c r="G58" s="165">
        <f t="shared" si="11"/>
        <v>43001.209096702689</v>
      </c>
      <c r="H58" s="147">
        <f t="shared" si="12"/>
        <v>43001.209096702689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6"/>
        <v/>
      </c>
      <c r="C59" s="157">
        <f>IF(D11="","-",+C58+1)</f>
        <v>2050</v>
      </c>
      <c r="D59" s="163">
        <f>IF(F58+SUM(E$17:E58)=D$10,F58,D$10-SUM(E$17:E58))</f>
        <v>24288.923843249286</v>
      </c>
      <c r="E59" s="164">
        <f>IF(+I14&lt;F58,I14,D59)</f>
        <v>24288.923843249286</v>
      </c>
      <c r="F59" s="163">
        <f t="shared" si="13"/>
        <v>0</v>
      </c>
      <c r="G59" s="165">
        <f t="shared" si="11"/>
        <v>25688.260999759856</v>
      </c>
      <c r="H59" s="147">
        <f t="shared" si="12"/>
        <v>25688.260999759856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6"/>
        <v/>
      </c>
      <c r="C60" s="157">
        <f>IF(D11="","-",+C59+1)</f>
        <v>2051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3"/>
        <v>0</v>
      </c>
      <c r="G60" s="165">
        <f t="shared" si="11"/>
        <v>0</v>
      </c>
      <c r="H60" s="147">
        <f t="shared" si="12"/>
        <v>0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6"/>
        <v/>
      </c>
      <c r="C61" s="157">
        <f>IF(D11="","-",+C60+1)</f>
        <v>2052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6"/>
        <v/>
      </c>
      <c r="C62" s="157">
        <f>IF(D11="","-",+C61+1)</f>
        <v>2053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6"/>
        <v/>
      </c>
      <c r="C63" s="157">
        <f>IF(D11="","-",+C62+1)</f>
        <v>2054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6"/>
        <v/>
      </c>
      <c r="C64" s="157">
        <f>IF(D11="","-",+C63+1)</f>
        <v>2055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6"/>
        <v/>
      </c>
      <c r="C65" s="157">
        <f>IF(D11="","-",+C64+1)</f>
        <v>2056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6"/>
        <v/>
      </c>
      <c r="C66" s="157">
        <f>IF(D11="","-",+C65+1)</f>
        <v>2057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6"/>
        <v/>
      </c>
      <c r="C67" s="157">
        <f>IF(D11="","-",+C66+1)</f>
        <v>2058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6"/>
        <v/>
      </c>
      <c r="C68" s="157">
        <f>IF(D11="","-",+C67+1)</f>
        <v>2059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6"/>
        <v/>
      </c>
      <c r="C69" s="157">
        <f>IF(D11="","-",+C68+1)</f>
        <v>2060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6"/>
        <v/>
      </c>
      <c r="C70" s="157">
        <f>IF(D11="","-",+C69+1)</f>
        <v>2061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6"/>
        <v/>
      </c>
      <c r="C71" s="157">
        <f>IF(D11="","-",+C70+1)</f>
        <v>2062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2063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1520502.0000000005</v>
      </c>
      <c r="F73" s="115"/>
      <c r="G73" s="115">
        <f>SUM(G17:G72)</f>
        <v>5568562.6610946525</v>
      </c>
      <c r="H73" s="115">
        <f>SUM(H17:H72)</f>
        <v>5568562.6610946525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6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190407.97942398797</v>
      </c>
      <c r="N87" s="202">
        <f>IF(J92&lt;D11,0,VLOOKUP(J92,C17:O72,11))</f>
        <v>190407.97942398797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191445.86392166355</v>
      </c>
      <c r="N88" s="204">
        <f>IF(J92&lt;D11,0,VLOOKUP(J92,C99:P154,7))</f>
        <v>191445.86392166355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Pryor Junction 138/69 Upgrade Transf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1037.884497675579</v>
      </c>
      <c r="N89" s="207">
        <f>+N88-N87</f>
        <v>1037.884497675579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TP2006090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1520502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4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33054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96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2008</v>
      </c>
      <c r="D99" s="366">
        <v>0</v>
      </c>
      <c r="E99" s="368">
        <v>19125</v>
      </c>
      <c r="F99" s="371">
        <v>1501348</v>
      </c>
      <c r="G99" s="373">
        <v>750764</v>
      </c>
      <c r="H99" s="374">
        <v>138367</v>
      </c>
      <c r="I99" s="375">
        <v>138367</v>
      </c>
      <c r="J99" s="162">
        <f t="shared" ref="J99:J130" si="18">+I99-H99</f>
        <v>0</v>
      </c>
      <c r="K99" s="162"/>
      <c r="L99" s="337">
        <v>138367</v>
      </c>
      <c r="M99" s="161">
        <f t="shared" ref="M99:M130" si="19">IF(L99&lt;&gt;0,+H99-L99,0)</f>
        <v>0</v>
      </c>
      <c r="N99" s="337">
        <v>138367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>IU</v>
      </c>
      <c r="C100" s="157">
        <f>IF(D93="","-",+C99+1)</f>
        <v>2009</v>
      </c>
      <c r="D100" s="366">
        <v>1501377</v>
      </c>
      <c r="E100" s="368">
        <v>27152</v>
      </c>
      <c r="F100" s="371">
        <v>1474225</v>
      </c>
      <c r="G100" s="371">
        <v>1487801</v>
      </c>
      <c r="H100" s="368">
        <v>244680.82784018715</v>
      </c>
      <c r="I100" s="370">
        <v>244680.82784018715</v>
      </c>
      <c r="J100" s="162">
        <f t="shared" si="18"/>
        <v>0</v>
      </c>
      <c r="K100" s="162"/>
      <c r="L100" s="380">
        <f t="shared" ref="L100:L105" si="22">H100</f>
        <v>244680.82784018715</v>
      </c>
      <c r="M100" s="381">
        <f t="shared" si="19"/>
        <v>0</v>
      </c>
      <c r="N100" s="380">
        <f t="shared" ref="N100:N105" si="23">I100</f>
        <v>244680.82784018715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4">IF(D101=F100,"","IU")</f>
        <v/>
      </c>
      <c r="C101" s="157">
        <f>IF(D93="","-",+C100+1)</f>
        <v>2010</v>
      </c>
      <c r="D101" s="366">
        <v>1474225</v>
      </c>
      <c r="E101" s="368">
        <v>29814</v>
      </c>
      <c r="F101" s="371">
        <v>1444411</v>
      </c>
      <c r="G101" s="371">
        <v>1459318</v>
      </c>
      <c r="H101" s="368">
        <v>264494.5477733505</v>
      </c>
      <c r="I101" s="370">
        <v>264494.5477733505</v>
      </c>
      <c r="J101" s="162">
        <f t="shared" si="18"/>
        <v>0</v>
      </c>
      <c r="K101" s="162"/>
      <c r="L101" s="380">
        <f t="shared" si="22"/>
        <v>264494.5477733505</v>
      </c>
      <c r="M101" s="381">
        <f t="shared" si="19"/>
        <v>0</v>
      </c>
      <c r="N101" s="380">
        <f t="shared" si="23"/>
        <v>264494.5477733505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4"/>
        <v/>
      </c>
      <c r="C102" s="157">
        <f>IF(D93="","-",+C101+1)</f>
        <v>2011</v>
      </c>
      <c r="D102" s="366">
        <v>1444411</v>
      </c>
      <c r="E102" s="368">
        <v>29240</v>
      </c>
      <c r="F102" s="371">
        <v>1415171</v>
      </c>
      <c r="G102" s="371">
        <v>1429791</v>
      </c>
      <c r="H102" s="368">
        <v>229143.9952359481</v>
      </c>
      <c r="I102" s="370">
        <v>229143.9952359481</v>
      </c>
      <c r="J102" s="162">
        <f t="shared" si="18"/>
        <v>0</v>
      </c>
      <c r="K102" s="162"/>
      <c r="L102" s="380">
        <f t="shared" si="22"/>
        <v>229143.9952359481</v>
      </c>
      <c r="M102" s="381">
        <f t="shared" si="19"/>
        <v>0</v>
      </c>
      <c r="N102" s="380">
        <f t="shared" si="23"/>
        <v>229143.9952359481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4"/>
        <v/>
      </c>
      <c r="C103" s="157">
        <f>IF(D93="","-",+C102+1)</f>
        <v>2012</v>
      </c>
      <c r="D103" s="366">
        <v>1415171</v>
      </c>
      <c r="E103" s="368">
        <v>29240</v>
      </c>
      <c r="F103" s="371">
        <v>1385931</v>
      </c>
      <c r="G103" s="371">
        <v>1400551</v>
      </c>
      <c r="H103" s="368">
        <v>230716.93888695308</v>
      </c>
      <c r="I103" s="370">
        <v>230716.93888695308</v>
      </c>
      <c r="J103" s="162">
        <v>0</v>
      </c>
      <c r="K103" s="162"/>
      <c r="L103" s="380">
        <f t="shared" si="22"/>
        <v>230716.93888695308</v>
      </c>
      <c r="M103" s="381">
        <f>IF(L103&lt;&gt;0,+H103-L103,0)</f>
        <v>0</v>
      </c>
      <c r="N103" s="380">
        <f t="shared" si="23"/>
        <v>230716.93888695308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4"/>
        <v/>
      </c>
      <c r="C104" s="157">
        <f>IF(D93="","-",+C103+1)</f>
        <v>2013</v>
      </c>
      <c r="D104" s="366">
        <v>1385931</v>
      </c>
      <c r="E104" s="368">
        <v>29240</v>
      </c>
      <c r="F104" s="371">
        <v>1356691</v>
      </c>
      <c r="G104" s="371">
        <v>1371311</v>
      </c>
      <c r="H104" s="368">
        <v>226625.94850487544</v>
      </c>
      <c r="I104" s="370">
        <v>226625.94850487544</v>
      </c>
      <c r="J104" s="162">
        <v>0</v>
      </c>
      <c r="K104" s="162"/>
      <c r="L104" s="380">
        <f t="shared" si="22"/>
        <v>226625.94850487544</v>
      </c>
      <c r="M104" s="381">
        <f>IF(L104&lt;&gt;0,+H104-L104,0)</f>
        <v>0</v>
      </c>
      <c r="N104" s="380">
        <f t="shared" si="23"/>
        <v>226625.94850487544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4"/>
        <v/>
      </c>
      <c r="C105" s="157">
        <f>IF(D93="","-",+C104+1)</f>
        <v>2014</v>
      </c>
      <c r="D105" s="366">
        <v>1356691</v>
      </c>
      <c r="E105" s="368">
        <v>29240</v>
      </c>
      <c r="F105" s="371">
        <v>1327451</v>
      </c>
      <c r="G105" s="371">
        <v>1342071</v>
      </c>
      <c r="H105" s="368">
        <v>217929.69653942893</v>
      </c>
      <c r="I105" s="370">
        <v>217929.69653942893</v>
      </c>
      <c r="J105" s="162">
        <v>0</v>
      </c>
      <c r="K105" s="162"/>
      <c r="L105" s="380">
        <f t="shared" si="22"/>
        <v>217929.69653942893</v>
      </c>
      <c r="M105" s="381">
        <f>IF(L105&lt;&gt;0,+H105-L105,0)</f>
        <v>0</v>
      </c>
      <c r="N105" s="380">
        <f t="shared" si="23"/>
        <v>217929.69653942893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4"/>
        <v/>
      </c>
      <c r="C106" s="157">
        <f>IF(D93="","-",+C105+1)</f>
        <v>2015</v>
      </c>
      <c r="D106" s="366">
        <v>1327451</v>
      </c>
      <c r="E106" s="368">
        <v>29240</v>
      </c>
      <c r="F106" s="371">
        <v>1298211</v>
      </c>
      <c r="G106" s="371">
        <v>1312831</v>
      </c>
      <c r="H106" s="368">
        <v>208365.23426858318</v>
      </c>
      <c r="I106" s="370">
        <v>208365.23426858318</v>
      </c>
      <c r="J106" s="162">
        <f t="shared" si="18"/>
        <v>0</v>
      </c>
      <c r="K106" s="162"/>
      <c r="L106" s="380">
        <f>H106</f>
        <v>208365.23426858318</v>
      </c>
      <c r="M106" s="381">
        <f>IF(L106&lt;&gt;0,+H106-L106,0)</f>
        <v>0</v>
      </c>
      <c r="N106" s="380">
        <f>I106</f>
        <v>208365.23426858318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4"/>
        <v/>
      </c>
      <c r="C107" s="157">
        <f>IF(D93="","-",+C106+1)</f>
        <v>2016</v>
      </c>
      <c r="D107" s="366">
        <v>1298211</v>
      </c>
      <c r="E107" s="368">
        <v>33054</v>
      </c>
      <c r="F107" s="371">
        <v>1265157</v>
      </c>
      <c r="G107" s="371">
        <v>1281684</v>
      </c>
      <c r="H107" s="368">
        <v>198283.25268027262</v>
      </c>
      <c r="I107" s="370">
        <v>198283.25268027262</v>
      </c>
      <c r="J107" s="162">
        <v>0</v>
      </c>
      <c r="K107" s="162"/>
      <c r="L107" s="380">
        <f>H107</f>
        <v>198283.25268027262</v>
      </c>
      <c r="M107" s="381">
        <f>IF(L107&lt;&gt;0,+H107-L107,0)</f>
        <v>0</v>
      </c>
      <c r="N107" s="380">
        <f>I107</f>
        <v>198283.25268027262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24"/>
        <v/>
      </c>
      <c r="C108" s="157">
        <f>IF(D93="","-",+C107+1)</f>
        <v>2017</v>
      </c>
      <c r="D108" s="158">
        <f>IF(F107+SUM(E$99:E107)=D$92,F107,D$92-SUM(E$99:E107))</f>
        <v>1265157</v>
      </c>
      <c r="E108" s="165">
        <f>IF(+J96&lt;F107,J96,D108)</f>
        <v>33054</v>
      </c>
      <c r="F108" s="163">
        <f t="shared" ref="F108:F130" si="25">+D108-E108</f>
        <v>1232103</v>
      </c>
      <c r="G108" s="163">
        <f t="shared" ref="G108:G130" si="26">+(F108+D108)/2</f>
        <v>1248630</v>
      </c>
      <c r="H108" s="167">
        <f t="shared" ref="H108:H154" si="27">+J$94*G108+E108</f>
        <v>191445.86392166355</v>
      </c>
      <c r="I108" s="317">
        <f t="shared" ref="I108:I154" si="28">+J$95*G108+E108</f>
        <v>191445.86392166355</v>
      </c>
      <c r="J108" s="162">
        <f t="shared" si="18"/>
        <v>0</v>
      </c>
      <c r="K108" s="162"/>
      <c r="L108" s="335"/>
      <c r="M108" s="162">
        <f t="shared" si="19"/>
        <v>0</v>
      </c>
      <c r="N108" s="335"/>
      <c r="O108" s="162">
        <f t="shared" si="20"/>
        <v>0</v>
      </c>
      <c r="P108" s="162">
        <f t="shared" si="21"/>
        <v>0</v>
      </c>
    </row>
    <row r="109" spans="1:16">
      <c r="B109" s="9" t="str">
        <f t="shared" si="24"/>
        <v/>
      </c>
      <c r="C109" s="157">
        <f>IF(D93="","-",+C108+1)</f>
        <v>2018</v>
      </c>
      <c r="D109" s="158">
        <f>IF(F108+SUM(E$99:E108)=D$92,F108,D$92-SUM(E$99:E108))</f>
        <v>1232103</v>
      </c>
      <c r="E109" s="165">
        <f>IF(+J96&lt;F108,J96,D109)</f>
        <v>33054</v>
      </c>
      <c r="F109" s="163">
        <f t="shared" si="25"/>
        <v>1199049</v>
      </c>
      <c r="G109" s="163">
        <f t="shared" si="26"/>
        <v>1215576</v>
      </c>
      <c r="H109" s="167">
        <f t="shared" si="27"/>
        <v>187252.88067597293</v>
      </c>
      <c r="I109" s="317">
        <f t="shared" si="28"/>
        <v>187252.88067597293</v>
      </c>
      <c r="J109" s="162">
        <f t="shared" si="18"/>
        <v>0</v>
      </c>
      <c r="K109" s="162"/>
      <c r="L109" s="335"/>
      <c r="M109" s="162">
        <f t="shared" si="19"/>
        <v>0</v>
      </c>
      <c r="N109" s="335"/>
      <c r="O109" s="162">
        <f t="shared" si="20"/>
        <v>0</v>
      </c>
      <c r="P109" s="162">
        <f t="shared" si="21"/>
        <v>0</v>
      </c>
    </row>
    <row r="110" spans="1:16">
      <c r="B110" s="9" t="str">
        <f t="shared" si="24"/>
        <v/>
      </c>
      <c r="C110" s="157">
        <f>IF(D93="","-",+C109+1)</f>
        <v>2019</v>
      </c>
      <c r="D110" s="158">
        <f>IF(F109+SUM(E$99:E109)=D$92,F109,D$92-SUM(E$99:E109))</f>
        <v>1199049</v>
      </c>
      <c r="E110" s="165">
        <f>IF(+J96&lt;F109,J96,D110)</f>
        <v>33054</v>
      </c>
      <c r="F110" s="163">
        <f t="shared" si="25"/>
        <v>1165995</v>
      </c>
      <c r="G110" s="163">
        <f t="shared" si="26"/>
        <v>1182522</v>
      </c>
      <c r="H110" s="167">
        <f t="shared" si="27"/>
        <v>183059.89743028232</v>
      </c>
      <c r="I110" s="317">
        <f t="shared" si="28"/>
        <v>183059.89743028232</v>
      </c>
      <c r="J110" s="162">
        <f t="shared" si="18"/>
        <v>0</v>
      </c>
      <c r="K110" s="162"/>
      <c r="L110" s="335"/>
      <c r="M110" s="162">
        <f t="shared" si="19"/>
        <v>0</v>
      </c>
      <c r="N110" s="335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4"/>
        <v/>
      </c>
      <c r="C111" s="157">
        <f>IF(D93="","-",+C110+1)</f>
        <v>2020</v>
      </c>
      <c r="D111" s="158">
        <f>IF(F110+SUM(E$99:E110)=D$92,F110,D$92-SUM(E$99:E110))</f>
        <v>1165995</v>
      </c>
      <c r="E111" s="165">
        <f>IF(+J96&lt;F110,J96,D111)</f>
        <v>33054</v>
      </c>
      <c r="F111" s="163">
        <f t="shared" si="25"/>
        <v>1132941</v>
      </c>
      <c r="G111" s="163">
        <f t="shared" si="26"/>
        <v>1149468</v>
      </c>
      <c r="H111" s="167">
        <f t="shared" si="27"/>
        <v>178866.9141845917</v>
      </c>
      <c r="I111" s="317">
        <f t="shared" si="28"/>
        <v>178866.9141845917</v>
      </c>
      <c r="J111" s="162">
        <f t="shared" si="18"/>
        <v>0</v>
      </c>
      <c r="K111" s="162"/>
      <c r="L111" s="335"/>
      <c r="M111" s="162">
        <f t="shared" si="19"/>
        <v>0</v>
      </c>
      <c r="N111" s="335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4"/>
        <v/>
      </c>
      <c r="C112" s="157">
        <f>IF(D93="","-",+C111+1)</f>
        <v>2021</v>
      </c>
      <c r="D112" s="158">
        <f>IF(F111+SUM(E$99:E111)=D$92,F111,D$92-SUM(E$99:E111))</f>
        <v>1132941</v>
      </c>
      <c r="E112" s="165">
        <f>IF(+J96&lt;F111,J96,D112)</f>
        <v>33054</v>
      </c>
      <c r="F112" s="163">
        <f t="shared" si="25"/>
        <v>1099887</v>
      </c>
      <c r="G112" s="163">
        <f t="shared" si="26"/>
        <v>1116414</v>
      </c>
      <c r="H112" s="167">
        <f t="shared" si="27"/>
        <v>174673.93093890112</v>
      </c>
      <c r="I112" s="317">
        <f t="shared" si="28"/>
        <v>174673.93093890112</v>
      </c>
      <c r="J112" s="162">
        <f t="shared" si="18"/>
        <v>0</v>
      </c>
      <c r="K112" s="162"/>
      <c r="L112" s="335"/>
      <c r="M112" s="162">
        <f t="shared" si="19"/>
        <v>0</v>
      </c>
      <c r="N112" s="335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4"/>
        <v/>
      </c>
      <c r="C113" s="157">
        <f>IF(D93="","-",+C112+1)</f>
        <v>2022</v>
      </c>
      <c r="D113" s="158">
        <f>IF(F112+SUM(E$99:E112)=D$92,F112,D$92-SUM(E$99:E112))</f>
        <v>1099887</v>
      </c>
      <c r="E113" s="165">
        <f>IF(+J96&lt;F112,J96,D113)</f>
        <v>33054</v>
      </c>
      <c r="F113" s="163">
        <f t="shared" si="25"/>
        <v>1066833</v>
      </c>
      <c r="G113" s="163">
        <f t="shared" si="26"/>
        <v>1083360</v>
      </c>
      <c r="H113" s="167">
        <f t="shared" si="27"/>
        <v>170480.9476932105</v>
      </c>
      <c r="I113" s="317">
        <f t="shared" si="28"/>
        <v>170480.9476932105</v>
      </c>
      <c r="J113" s="162">
        <f t="shared" si="18"/>
        <v>0</v>
      </c>
      <c r="K113" s="162"/>
      <c r="L113" s="335"/>
      <c r="M113" s="162">
        <f t="shared" si="19"/>
        <v>0</v>
      </c>
      <c r="N113" s="335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4"/>
        <v/>
      </c>
      <c r="C114" s="157">
        <f>IF(D93="","-",+C113+1)</f>
        <v>2023</v>
      </c>
      <c r="D114" s="158">
        <f>IF(F113+SUM(E$99:E113)=D$92,F113,D$92-SUM(E$99:E113))</f>
        <v>1066833</v>
      </c>
      <c r="E114" s="165">
        <f>IF(+J96&lt;F113,J96,D114)</f>
        <v>33054</v>
      </c>
      <c r="F114" s="163">
        <f t="shared" si="25"/>
        <v>1033779</v>
      </c>
      <c r="G114" s="163">
        <f t="shared" si="26"/>
        <v>1050306</v>
      </c>
      <c r="H114" s="167">
        <f t="shared" si="27"/>
        <v>166287.96444751989</v>
      </c>
      <c r="I114" s="317">
        <f t="shared" si="28"/>
        <v>166287.96444751989</v>
      </c>
      <c r="J114" s="162">
        <f t="shared" si="18"/>
        <v>0</v>
      </c>
      <c r="K114" s="162"/>
      <c r="L114" s="335"/>
      <c r="M114" s="162">
        <f t="shared" si="19"/>
        <v>0</v>
      </c>
      <c r="N114" s="335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4"/>
        <v/>
      </c>
      <c r="C115" s="157">
        <f>IF(D93="","-",+C114+1)</f>
        <v>2024</v>
      </c>
      <c r="D115" s="158">
        <f>IF(F114+SUM(E$99:E114)=D$92,F114,D$92-SUM(E$99:E114))</f>
        <v>1033779</v>
      </c>
      <c r="E115" s="165">
        <f>IF(+J96&lt;F114,J96,D115)</f>
        <v>33054</v>
      </c>
      <c r="F115" s="163">
        <f t="shared" si="25"/>
        <v>1000725</v>
      </c>
      <c r="G115" s="163">
        <f t="shared" si="26"/>
        <v>1017252</v>
      </c>
      <c r="H115" s="167">
        <f t="shared" si="27"/>
        <v>162094.98120182927</v>
      </c>
      <c r="I115" s="317">
        <f t="shared" si="28"/>
        <v>162094.98120182927</v>
      </c>
      <c r="J115" s="162">
        <f t="shared" si="18"/>
        <v>0</v>
      </c>
      <c r="K115" s="162"/>
      <c r="L115" s="335"/>
      <c r="M115" s="162">
        <f t="shared" si="19"/>
        <v>0</v>
      </c>
      <c r="N115" s="335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4"/>
        <v/>
      </c>
      <c r="C116" s="157">
        <f>IF(D93="","-",+C115+1)</f>
        <v>2025</v>
      </c>
      <c r="D116" s="158">
        <f>IF(F115+SUM(E$99:E115)=D$92,F115,D$92-SUM(E$99:E115))</f>
        <v>1000725</v>
      </c>
      <c r="E116" s="165">
        <f>IF(+J96&lt;F115,J96,D116)</f>
        <v>33054</v>
      </c>
      <c r="F116" s="163">
        <f t="shared" si="25"/>
        <v>967671</v>
      </c>
      <c r="G116" s="163">
        <f t="shared" si="26"/>
        <v>984198</v>
      </c>
      <c r="H116" s="167">
        <f t="shared" si="27"/>
        <v>157901.99795613869</v>
      </c>
      <c r="I116" s="317">
        <f t="shared" si="28"/>
        <v>157901.99795613869</v>
      </c>
      <c r="J116" s="162">
        <f t="shared" si="18"/>
        <v>0</v>
      </c>
      <c r="K116" s="162"/>
      <c r="L116" s="335"/>
      <c r="M116" s="162">
        <f t="shared" si="19"/>
        <v>0</v>
      </c>
      <c r="N116" s="335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4"/>
        <v/>
      </c>
      <c r="C117" s="157">
        <f>IF(D93="","-",+C116+1)</f>
        <v>2026</v>
      </c>
      <c r="D117" s="158">
        <f>IF(F116+SUM(E$99:E116)=D$92,F116,D$92-SUM(E$99:E116))</f>
        <v>967671</v>
      </c>
      <c r="E117" s="165">
        <f>IF(+J96&lt;F116,J96,D117)</f>
        <v>33054</v>
      </c>
      <c r="F117" s="163">
        <f t="shared" si="25"/>
        <v>934617</v>
      </c>
      <c r="G117" s="163">
        <f t="shared" si="26"/>
        <v>951144</v>
      </c>
      <c r="H117" s="167">
        <f t="shared" si="27"/>
        <v>153709.01471044804</v>
      </c>
      <c r="I117" s="317">
        <f t="shared" si="28"/>
        <v>153709.01471044804</v>
      </c>
      <c r="J117" s="162">
        <f t="shared" si="18"/>
        <v>0</v>
      </c>
      <c r="K117" s="162"/>
      <c r="L117" s="335"/>
      <c r="M117" s="162">
        <f t="shared" si="19"/>
        <v>0</v>
      </c>
      <c r="N117" s="335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4"/>
        <v/>
      </c>
      <c r="C118" s="157">
        <f>IF(D93="","-",+C117+1)</f>
        <v>2027</v>
      </c>
      <c r="D118" s="158">
        <f>IF(F117+SUM(E$99:E117)=D$92,F117,D$92-SUM(E$99:E117))</f>
        <v>934617</v>
      </c>
      <c r="E118" s="165">
        <f>IF(+J96&lt;F117,J96,D118)</f>
        <v>33054</v>
      </c>
      <c r="F118" s="163">
        <f t="shared" si="25"/>
        <v>901563</v>
      </c>
      <c r="G118" s="163">
        <f t="shared" si="26"/>
        <v>918090</v>
      </c>
      <c r="H118" s="167">
        <f t="shared" si="27"/>
        <v>149516.03146475746</v>
      </c>
      <c r="I118" s="317">
        <f t="shared" si="28"/>
        <v>149516.03146475746</v>
      </c>
      <c r="J118" s="162">
        <f t="shared" si="18"/>
        <v>0</v>
      </c>
      <c r="K118" s="162"/>
      <c r="L118" s="335"/>
      <c r="M118" s="162">
        <f t="shared" si="19"/>
        <v>0</v>
      </c>
      <c r="N118" s="335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4"/>
        <v/>
      </c>
      <c r="C119" s="157">
        <f>IF(D93="","-",+C118+1)</f>
        <v>2028</v>
      </c>
      <c r="D119" s="158">
        <f>IF(F118+SUM(E$99:E118)=D$92,F118,D$92-SUM(E$99:E118))</f>
        <v>901563</v>
      </c>
      <c r="E119" s="165">
        <f>IF(+J96&lt;F118,J96,D119)</f>
        <v>33054</v>
      </c>
      <c r="F119" s="163">
        <f t="shared" si="25"/>
        <v>868509</v>
      </c>
      <c r="G119" s="163">
        <f t="shared" si="26"/>
        <v>885036</v>
      </c>
      <c r="H119" s="167">
        <f t="shared" si="27"/>
        <v>145323.04821906684</v>
      </c>
      <c r="I119" s="317">
        <f t="shared" si="28"/>
        <v>145323.04821906684</v>
      </c>
      <c r="J119" s="162">
        <f t="shared" si="18"/>
        <v>0</v>
      </c>
      <c r="K119" s="162"/>
      <c r="L119" s="335"/>
      <c r="M119" s="162">
        <f t="shared" si="19"/>
        <v>0</v>
      </c>
      <c r="N119" s="335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4"/>
        <v/>
      </c>
      <c r="C120" s="157">
        <f>IF(D93="","-",+C119+1)</f>
        <v>2029</v>
      </c>
      <c r="D120" s="158">
        <f>IF(F119+SUM(E$99:E119)=D$92,F119,D$92-SUM(E$99:E119))</f>
        <v>868509</v>
      </c>
      <c r="E120" s="165">
        <f>IF(+J96&lt;F119,J96,D120)</f>
        <v>33054</v>
      </c>
      <c r="F120" s="163">
        <f t="shared" si="25"/>
        <v>835455</v>
      </c>
      <c r="G120" s="163">
        <f t="shared" si="26"/>
        <v>851982</v>
      </c>
      <c r="H120" s="167">
        <f t="shared" si="27"/>
        <v>141130.06497337623</v>
      </c>
      <c r="I120" s="317">
        <f t="shared" si="28"/>
        <v>141130.06497337623</v>
      </c>
      <c r="J120" s="162">
        <f t="shared" si="18"/>
        <v>0</v>
      </c>
      <c r="K120" s="162"/>
      <c r="L120" s="335"/>
      <c r="M120" s="162">
        <f t="shared" si="19"/>
        <v>0</v>
      </c>
      <c r="N120" s="335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4"/>
        <v/>
      </c>
      <c r="C121" s="157">
        <f>IF(D93="","-",+C120+1)</f>
        <v>2030</v>
      </c>
      <c r="D121" s="158">
        <f>IF(F120+SUM(E$99:E120)=D$92,F120,D$92-SUM(E$99:E120))</f>
        <v>835455</v>
      </c>
      <c r="E121" s="165">
        <f>IF(+J96&lt;F120,J96,D121)</f>
        <v>33054</v>
      </c>
      <c r="F121" s="163">
        <f t="shared" si="25"/>
        <v>802401</v>
      </c>
      <c r="G121" s="163">
        <f t="shared" si="26"/>
        <v>818928</v>
      </c>
      <c r="H121" s="167">
        <f t="shared" si="27"/>
        <v>136937.08172768561</v>
      </c>
      <c r="I121" s="317">
        <f t="shared" si="28"/>
        <v>136937.08172768561</v>
      </c>
      <c r="J121" s="162">
        <f t="shared" si="18"/>
        <v>0</v>
      </c>
      <c r="K121" s="162"/>
      <c r="L121" s="335"/>
      <c r="M121" s="162">
        <f t="shared" si="19"/>
        <v>0</v>
      </c>
      <c r="N121" s="335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4"/>
        <v/>
      </c>
      <c r="C122" s="157">
        <f>IF(D93="","-",+C121+1)</f>
        <v>2031</v>
      </c>
      <c r="D122" s="158">
        <f>IF(F121+SUM(E$99:E121)=D$92,F121,D$92-SUM(E$99:E121))</f>
        <v>802401</v>
      </c>
      <c r="E122" s="165">
        <f>IF(+J96&lt;F121,J96,D122)</f>
        <v>33054</v>
      </c>
      <c r="F122" s="163">
        <f t="shared" si="25"/>
        <v>769347</v>
      </c>
      <c r="G122" s="163">
        <f t="shared" si="26"/>
        <v>785874</v>
      </c>
      <c r="H122" s="167">
        <f t="shared" si="27"/>
        <v>132744.098481995</v>
      </c>
      <c r="I122" s="317">
        <f t="shared" si="28"/>
        <v>132744.098481995</v>
      </c>
      <c r="J122" s="162">
        <f t="shared" si="18"/>
        <v>0</v>
      </c>
      <c r="K122" s="162"/>
      <c r="L122" s="335"/>
      <c r="M122" s="162">
        <f t="shared" si="19"/>
        <v>0</v>
      </c>
      <c r="N122" s="335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4"/>
        <v/>
      </c>
      <c r="C123" s="157">
        <f>IF(D93="","-",+C122+1)</f>
        <v>2032</v>
      </c>
      <c r="D123" s="158">
        <f>IF(F122+SUM(E$99:E122)=D$92,F122,D$92-SUM(E$99:E122))</f>
        <v>769347</v>
      </c>
      <c r="E123" s="165">
        <f>IF(+J96&lt;F122,J96,D123)</f>
        <v>33054</v>
      </c>
      <c r="F123" s="163">
        <f t="shared" si="25"/>
        <v>736293</v>
      </c>
      <c r="G123" s="163">
        <f t="shared" si="26"/>
        <v>752820</v>
      </c>
      <c r="H123" s="167">
        <f t="shared" si="27"/>
        <v>128551.11523630439</v>
      </c>
      <c r="I123" s="317">
        <f t="shared" si="28"/>
        <v>128551.11523630439</v>
      </c>
      <c r="J123" s="162">
        <f t="shared" si="18"/>
        <v>0</v>
      </c>
      <c r="K123" s="162"/>
      <c r="L123" s="335"/>
      <c r="M123" s="162">
        <f t="shared" si="19"/>
        <v>0</v>
      </c>
      <c r="N123" s="335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4"/>
        <v/>
      </c>
      <c r="C124" s="157">
        <f>IF(D93="","-",+C123+1)</f>
        <v>2033</v>
      </c>
      <c r="D124" s="158">
        <f>IF(F123+SUM(E$99:E123)=D$92,F123,D$92-SUM(E$99:E123))</f>
        <v>736293</v>
      </c>
      <c r="E124" s="165">
        <f>IF(+J96&lt;F123,J96,D124)</f>
        <v>33054</v>
      </c>
      <c r="F124" s="163">
        <f t="shared" si="25"/>
        <v>703239</v>
      </c>
      <c r="G124" s="163">
        <f t="shared" si="26"/>
        <v>719766</v>
      </c>
      <c r="H124" s="167">
        <f t="shared" si="27"/>
        <v>124358.13199061378</v>
      </c>
      <c r="I124" s="317">
        <f t="shared" si="28"/>
        <v>124358.13199061378</v>
      </c>
      <c r="J124" s="162">
        <f t="shared" si="18"/>
        <v>0</v>
      </c>
      <c r="K124" s="162"/>
      <c r="L124" s="335"/>
      <c r="M124" s="162">
        <f t="shared" si="19"/>
        <v>0</v>
      </c>
      <c r="N124" s="335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4"/>
        <v/>
      </c>
      <c r="C125" s="157">
        <f>IF(D93="","-",+C124+1)</f>
        <v>2034</v>
      </c>
      <c r="D125" s="158">
        <f>IF(F124+SUM(E$99:E124)=D$92,F124,D$92-SUM(E$99:E124))</f>
        <v>703239</v>
      </c>
      <c r="E125" s="165">
        <f>IF(+J96&lt;F124,J96,D125)</f>
        <v>33054</v>
      </c>
      <c r="F125" s="163">
        <f t="shared" si="25"/>
        <v>670185</v>
      </c>
      <c r="G125" s="163">
        <f t="shared" si="26"/>
        <v>686712</v>
      </c>
      <c r="H125" s="167">
        <f t="shared" si="27"/>
        <v>120165.14874492316</v>
      </c>
      <c r="I125" s="317">
        <f t="shared" si="28"/>
        <v>120165.14874492316</v>
      </c>
      <c r="J125" s="162">
        <f t="shared" si="18"/>
        <v>0</v>
      </c>
      <c r="K125" s="162"/>
      <c r="L125" s="335"/>
      <c r="M125" s="162">
        <f t="shared" si="19"/>
        <v>0</v>
      </c>
      <c r="N125" s="335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4"/>
        <v/>
      </c>
      <c r="C126" s="157">
        <f>IF(D93="","-",+C125+1)</f>
        <v>2035</v>
      </c>
      <c r="D126" s="158">
        <f>IF(F125+SUM(E$99:E125)=D$92,F125,D$92-SUM(E$99:E125))</f>
        <v>670185</v>
      </c>
      <c r="E126" s="165">
        <f>IF(+J96&lt;F125,J96,D126)</f>
        <v>33054</v>
      </c>
      <c r="F126" s="163">
        <f t="shared" si="25"/>
        <v>637131</v>
      </c>
      <c r="G126" s="163">
        <f t="shared" si="26"/>
        <v>653658</v>
      </c>
      <c r="H126" s="167">
        <f t="shared" si="27"/>
        <v>115972.16549923256</v>
      </c>
      <c r="I126" s="317">
        <f t="shared" si="28"/>
        <v>115972.16549923256</v>
      </c>
      <c r="J126" s="162">
        <f t="shared" si="18"/>
        <v>0</v>
      </c>
      <c r="K126" s="162"/>
      <c r="L126" s="335"/>
      <c r="M126" s="162">
        <f t="shared" si="19"/>
        <v>0</v>
      </c>
      <c r="N126" s="335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4"/>
        <v/>
      </c>
      <c r="C127" s="157">
        <f>IF(D93="","-",+C126+1)</f>
        <v>2036</v>
      </c>
      <c r="D127" s="158">
        <f>IF(F126+SUM(E$99:E126)=D$92,F126,D$92-SUM(E$99:E126))</f>
        <v>637131</v>
      </c>
      <c r="E127" s="165">
        <f>IF(+J96&lt;F126,J96,D127)</f>
        <v>33054</v>
      </c>
      <c r="F127" s="163">
        <f t="shared" si="25"/>
        <v>604077</v>
      </c>
      <c r="G127" s="163">
        <f t="shared" si="26"/>
        <v>620604</v>
      </c>
      <c r="H127" s="167">
        <f t="shared" si="27"/>
        <v>111779.18225354195</v>
      </c>
      <c r="I127" s="317">
        <f t="shared" si="28"/>
        <v>111779.18225354195</v>
      </c>
      <c r="J127" s="162">
        <f t="shared" si="18"/>
        <v>0</v>
      </c>
      <c r="K127" s="162"/>
      <c r="L127" s="335"/>
      <c r="M127" s="162">
        <f t="shared" si="19"/>
        <v>0</v>
      </c>
      <c r="N127" s="335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4"/>
        <v/>
      </c>
      <c r="C128" s="157">
        <f>IF(D93="","-",+C127+1)</f>
        <v>2037</v>
      </c>
      <c r="D128" s="158">
        <f>IF(F127+SUM(E$99:E127)=D$92,F127,D$92-SUM(E$99:E127))</f>
        <v>604077</v>
      </c>
      <c r="E128" s="165">
        <f>IF(+J96&lt;F127,J96,D128)</f>
        <v>33054</v>
      </c>
      <c r="F128" s="163">
        <f t="shared" si="25"/>
        <v>571023</v>
      </c>
      <c r="G128" s="163">
        <f t="shared" si="26"/>
        <v>587550</v>
      </c>
      <c r="H128" s="167">
        <f t="shared" si="27"/>
        <v>107586.19900785133</v>
      </c>
      <c r="I128" s="317">
        <f t="shared" si="28"/>
        <v>107586.19900785133</v>
      </c>
      <c r="J128" s="162">
        <f t="shared" si="18"/>
        <v>0</v>
      </c>
      <c r="K128" s="162"/>
      <c r="L128" s="335"/>
      <c r="M128" s="162">
        <f t="shared" si="19"/>
        <v>0</v>
      </c>
      <c r="N128" s="335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4"/>
        <v/>
      </c>
      <c r="C129" s="157">
        <f>IF(D93="","-",+C128+1)</f>
        <v>2038</v>
      </c>
      <c r="D129" s="158">
        <f>IF(F128+SUM(E$99:E128)=D$92,F128,D$92-SUM(E$99:E128))</f>
        <v>571023</v>
      </c>
      <c r="E129" s="165">
        <f>IF(+J96&lt;F128,J96,D129)</f>
        <v>33054</v>
      </c>
      <c r="F129" s="163">
        <f t="shared" si="25"/>
        <v>537969</v>
      </c>
      <c r="G129" s="163">
        <f t="shared" si="26"/>
        <v>554496</v>
      </c>
      <c r="H129" s="167">
        <f t="shared" si="27"/>
        <v>103393.21576216073</v>
      </c>
      <c r="I129" s="317">
        <f t="shared" si="28"/>
        <v>103393.21576216073</v>
      </c>
      <c r="J129" s="162">
        <f t="shared" si="18"/>
        <v>0</v>
      </c>
      <c r="K129" s="162"/>
      <c r="L129" s="335"/>
      <c r="M129" s="162">
        <f t="shared" si="19"/>
        <v>0</v>
      </c>
      <c r="N129" s="335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4"/>
        <v/>
      </c>
      <c r="C130" s="157">
        <f>IF(D93="","-",+C129+1)</f>
        <v>2039</v>
      </c>
      <c r="D130" s="158">
        <f>IF(F129+SUM(E$99:E129)=D$92,F129,D$92-SUM(E$99:E129))</f>
        <v>537969</v>
      </c>
      <c r="E130" s="165">
        <f>IF(+J96&lt;F129,J96,D130)</f>
        <v>33054</v>
      </c>
      <c r="F130" s="163">
        <f t="shared" si="25"/>
        <v>504915</v>
      </c>
      <c r="G130" s="163">
        <f t="shared" si="26"/>
        <v>521442</v>
      </c>
      <c r="H130" s="167">
        <f t="shared" si="27"/>
        <v>99200.232516470118</v>
      </c>
      <c r="I130" s="317">
        <f t="shared" si="28"/>
        <v>99200.232516470118</v>
      </c>
      <c r="J130" s="162">
        <f t="shared" si="18"/>
        <v>0</v>
      </c>
      <c r="K130" s="162"/>
      <c r="L130" s="335"/>
      <c r="M130" s="162">
        <f t="shared" si="19"/>
        <v>0</v>
      </c>
      <c r="N130" s="335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4"/>
        <v/>
      </c>
      <c r="C131" s="157">
        <f>IF(D93="","-",+C130+1)</f>
        <v>2040</v>
      </c>
      <c r="D131" s="158">
        <f>IF(F130+SUM(E$99:E130)=D$92,F130,D$92-SUM(E$99:E130))</f>
        <v>504915</v>
      </c>
      <c r="E131" s="165">
        <f>IF(+J96&lt;F130,J96,D131)</f>
        <v>33054</v>
      </c>
      <c r="F131" s="163">
        <f t="shared" ref="F131:F154" si="29">+D131-E131</f>
        <v>471861</v>
      </c>
      <c r="G131" s="163">
        <f t="shared" ref="G131:G154" si="30">+(F131+D131)/2</f>
        <v>488388</v>
      </c>
      <c r="H131" s="167">
        <f t="shared" si="27"/>
        <v>95007.249270779517</v>
      </c>
      <c r="I131" s="317">
        <f t="shared" si="28"/>
        <v>95007.249270779517</v>
      </c>
      <c r="J131" s="162">
        <f t="shared" ref="J131:J154" si="31">+I131-H131</f>
        <v>0</v>
      </c>
      <c r="K131" s="162"/>
      <c r="L131" s="335"/>
      <c r="M131" s="162">
        <f t="shared" ref="M131:M154" si="32">IF(L131&lt;&gt;0,+H131-L131,0)</f>
        <v>0</v>
      </c>
      <c r="N131" s="335"/>
      <c r="O131" s="162">
        <f t="shared" ref="O131:O154" si="33">IF(N131&lt;&gt;0,+I131-N131,0)</f>
        <v>0</v>
      </c>
      <c r="P131" s="162">
        <f t="shared" ref="P131:P154" si="34">+O131-M131</f>
        <v>0</v>
      </c>
    </row>
    <row r="132" spans="2:16">
      <c r="B132" s="9" t="str">
        <f t="shared" si="24"/>
        <v/>
      </c>
      <c r="C132" s="157">
        <f>IF(D93="","-",+C131+1)</f>
        <v>2041</v>
      </c>
      <c r="D132" s="158">
        <f>IF(F131+SUM(E$99:E131)=D$92,F131,D$92-SUM(E$99:E131))</f>
        <v>471861</v>
      </c>
      <c r="E132" s="165">
        <f>IF(+J96&lt;F131,J96,D132)</f>
        <v>33054</v>
      </c>
      <c r="F132" s="163">
        <f t="shared" si="29"/>
        <v>438807</v>
      </c>
      <c r="G132" s="163">
        <f t="shared" si="30"/>
        <v>455334</v>
      </c>
      <c r="H132" s="167">
        <f t="shared" si="27"/>
        <v>90814.266025088902</v>
      </c>
      <c r="I132" s="317">
        <f t="shared" si="28"/>
        <v>90814.266025088902</v>
      </c>
      <c r="J132" s="162">
        <f t="shared" si="31"/>
        <v>0</v>
      </c>
      <c r="K132" s="162"/>
      <c r="L132" s="335"/>
      <c r="M132" s="162">
        <f t="shared" si="32"/>
        <v>0</v>
      </c>
      <c r="N132" s="335"/>
      <c r="O132" s="162">
        <f t="shared" si="33"/>
        <v>0</v>
      </c>
      <c r="P132" s="162">
        <f t="shared" si="34"/>
        <v>0</v>
      </c>
    </row>
    <row r="133" spans="2:16">
      <c r="B133" s="9" t="str">
        <f t="shared" si="24"/>
        <v/>
      </c>
      <c r="C133" s="157">
        <f>IF(D93="","-",+C132+1)</f>
        <v>2042</v>
      </c>
      <c r="D133" s="158">
        <f>IF(F132+SUM(E$99:E132)=D$92,F132,D$92-SUM(E$99:E132))</f>
        <v>438807</v>
      </c>
      <c r="E133" s="165">
        <f>IF(+J96&lt;F132,J96,D133)</f>
        <v>33054</v>
      </c>
      <c r="F133" s="163">
        <f t="shared" si="29"/>
        <v>405753</v>
      </c>
      <c r="G133" s="163">
        <f t="shared" si="30"/>
        <v>422280</v>
      </c>
      <c r="H133" s="167">
        <f t="shared" si="27"/>
        <v>86621.282779398287</v>
      </c>
      <c r="I133" s="317">
        <f t="shared" si="28"/>
        <v>86621.282779398287</v>
      </c>
      <c r="J133" s="162">
        <f t="shared" si="31"/>
        <v>0</v>
      </c>
      <c r="K133" s="162"/>
      <c r="L133" s="335"/>
      <c r="M133" s="162">
        <f t="shared" si="32"/>
        <v>0</v>
      </c>
      <c r="N133" s="335"/>
      <c r="O133" s="162">
        <f t="shared" si="33"/>
        <v>0</v>
      </c>
      <c r="P133" s="162">
        <f t="shared" si="34"/>
        <v>0</v>
      </c>
    </row>
    <row r="134" spans="2:16">
      <c r="B134" s="9" t="str">
        <f t="shared" si="24"/>
        <v/>
      </c>
      <c r="C134" s="157">
        <f>IF(D93="","-",+C133+1)</f>
        <v>2043</v>
      </c>
      <c r="D134" s="158">
        <f>IF(F133+SUM(E$99:E133)=D$92,F133,D$92-SUM(E$99:E133))</f>
        <v>405753</v>
      </c>
      <c r="E134" s="165">
        <f>IF(+J96&lt;F133,J96,D134)</f>
        <v>33054</v>
      </c>
      <c r="F134" s="163">
        <f t="shared" si="29"/>
        <v>372699</v>
      </c>
      <c r="G134" s="163">
        <f t="shared" si="30"/>
        <v>389226</v>
      </c>
      <c r="H134" s="167">
        <f t="shared" si="27"/>
        <v>82428.299533707672</v>
      </c>
      <c r="I134" s="317">
        <f t="shared" si="28"/>
        <v>82428.299533707672</v>
      </c>
      <c r="J134" s="162">
        <f t="shared" si="31"/>
        <v>0</v>
      </c>
      <c r="K134" s="162"/>
      <c r="L134" s="335"/>
      <c r="M134" s="162">
        <f t="shared" si="32"/>
        <v>0</v>
      </c>
      <c r="N134" s="335"/>
      <c r="O134" s="162">
        <f t="shared" si="33"/>
        <v>0</v>
      </c>
      <c r="P134" s="162">
        <f t="shared" si="34"/>
        <v>0</v>
      </c>
    </row>
    <row r="135" spans="2:16">
      <c r="B135" s="9" t="str">
        <f t="shared" si="24"/>
        <v/>
      </c>
      <c r="C135" s="157">
        <f>IF(D93="","-",+C134+1)</f>
        <v>2044</v>
      </c>
      <c r="D135" s="158">
        <f>IF(F134+SUM(E$99:E134)=D$92,F134,D$92-SUM(E$99:E134))</f>
        <v>372699</v>
      </c>
      <c r="E135" s="165">
        <f>IF(+J96&lt;F134,J96,D135)</f>
        <v>33054</v>
      </c>
      <c r="F135" s="163">
        <f t="shared" si="29"/>
        <v>339645</v>
      </c>
      <c r="G135" s="163">
        <f t="shared" si="30"/>
        <v>356172</v>
      </c>
      <c r="H135" s="167">
        <f t="shared" si="27"/>
        <v>78235.316288017057</v>
      </c>
      <c r="I135" s="317">
        <f t="shared" si="28"/>
        <v>78235.316288017057</v>
      </c>
      <c r="J135" s="162">
        <f t="shared" si="31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4"/>
        <v>0</v>
      </c>
    </row>
    <row r="136" spans="2:16">
      <c r="B136" s="9" t="str">
        <f t="shared" si="24"/>
        <v/>
      </c>
      <c r="C136" s="157">
        <f>IF(D93="","-",+C135+1)</f>
        <v>2045</v>
      </c>
      <c r="D136" s="158">
        <f>IF(F135+SUM(E$99:E135)=D$92,F135,D$92-SUM(E$99:E135))</f>
        <v>339645</v>
      </c>
      <c r="E136" s="165">
        <f>IF(+J96&lt;F135,J96,D136)</f>
        <v>33054</v>
      </c>
      <c r="F136" s="163">
        <f t="shared" si="29"/>
        <v>306591</v>
      </c>
      <c r="G136" s="163">
        <f t="shared" si="30"/>
        <v>323118</v>
      </c>
      <c r="H136" s="167">
        <f t="shared" si="27"/>
        <v>74042.333042326456</v>
      </c>
      <c r="I136" s="317">
        <f t="shared" si="28"/>
        <v>74042.333042326456</v>
      </c>
      <c r="J136" s="162">
        <f t="shared" si="31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4"/>
        <v>0</v>
      </c>
    </row>
    <row r="137" spans="2:16">
      <c r="B137" s="9" t="str">
        <f t="shared" si="24"/>
        <v/>
      </c>
      <c r="C137" s="157">
        <f>IF(D93="","-",+C136+1)</f>
        <v>2046</v>
      </c>
      <c r="D137" s="158">
        <f>IF(F136+SUM(E$99:E136)=D$92,F136,D$92-SUM(E$99:E136))</f>
        <v>306591</v>
      </c>
      <c r="E137" s="165">
        <f>IF(+J96&lt;F136,J96,D137)</f>
        <v>33054</v>
      </c>
      <c r="F137" s="163">
        <f t="shared" si="29"/>
        <v>273537</v>
      </c>
      <c r="G137" s="163">
        <f t="shared" si="30"/>
        <v>290064</v>
      </c>
      <c r="H137" s="167">
        <f t="shared" si="27"/>
        <v>69849.349796635855</v>
      </c>
      <c r="I137" s="317">
        <f t="shared" si="28"/>
        <v>69849.349796635855</v>
      </c>
      <c r="J137" s="162">
        <f t="shared" si="31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4"/>
        <v>0</v>
      </c>
    </row>
    <row r="138" spans="2:16">
      <c r="B138" s="9" t="str">
        <f t="shared" si="24"/>
        <v/>
      </c>
      <c r="C138" s="157">
        <f>IF(D93="","-",+C137+1)</f>
        <v>2047</v>
      </c>
      <c r="D138" s="158">
        <f>IF(F137+SUM(E$99:E137)=D$92,F137,D$92-SUM(E$99:E137))</f>
        <v>273537</v>
      </c>
      <c r="E138" s="165">
        <f>IF(+J96&lt;F137,J96,D138)</f>
        <v>33054</v>
      </c>
      <c r="F138" s="163">
        <f t="shared" si="29"/>
        <v>240483</v>
      </c>
      <c r="G138" s="163">
        <f t="shared" si="30"/>
        <v>257010</v>
      </c>
      <c r="H138" s="167">
        <f t="shared" si="27"/>
        <v>65656.36655094524</v>
      </c>
      <c r="I138" s="317">
        <f t="shared" si="28"/>
        <v>65656.36655094524</v>
      </c>
      <c r="J138" s="162">
        <f t="shared" si="31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4"/>
        <v>0</v>
      </c>
    </row>
    <row r="139" spans="2:16">
      <c r="B139" s="9" t="str">
        <f t="shared" si="24"/>
        <v/>
      </c>
      <c r="C139" s="157">
        <f>IF(D93="","-",+C138+1)</f>
        <v>2048</v>
      </c>
      <c r="D139" s="158">
        <f>IF(F138+SUM(E$99:E138)=D$92,F138,D$92-SUM(E$99:E138))</f>
        <v>240483</v>
      </c>
      <c r="E139" s="165">
        <f>IF(+J96&lt;F138,J96,D139)</f>
        <v>33054</v>
      </c>
      <c r="F139" s="163">
        <f t="shared" si="29"/>
        <v>207429</v>
      </c>
      <c r="G139" s="163">
        <f t="shared" si="30"/>
        <v>223956</v>
      </c>
      <c r="H139" s="167">
        <f t="shared" si="27"/>
        <v>61463.383305254625</v>
      </c>
      <c r="I139" s="317">
        <f t="shared" si="28"/>
        <v>61463.383305254625</v>
      </c>
      <c r="J139" s="162">
        <f t="shared" si="31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4"/>
        <v>0</v>
      </c>
    </row>
    <row r="140" spans="2:16">
      <c r="B140" s="9" t="str">
        <f t="shared" si="24"/>
        <v/>
      </c>
      <c r="C140" s="157">
        <f>IF(D93="","-",+C139+1)</f>
        <v>2049</v>
      </c>
      <c r="D140" s="158">
        <f>IF(F139+SUM(E$99:E139)=D$92,F139,D$92-SUM(E$99:E139))</f>
        <v>207429</v>
      </c>
      <c r="E140" s="165">
        <f>IF(+J96&lt;F139,J96,D140)</f>
        <v>33054</v>
      </c>
      <c r="F140" s="163">
        <f t="shared" si="29"/>
        <v>174375</v>
      </c>
      <c r="G140" s="163">
        <f t="shared" si="30"/>
        <v>190902</v>
      </c>
      <c r="H140" s="167">
        <f t="shared" si="27"/>
        <v>57270.40005956401</v>
      </c>
      <c r="I140" s="317">
        <f t="shared" si="28"/>
        <v>57270.40005956401</v>
      </c>
      <c r="J140" s="162">
        <f t="shared" si="31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4"/>
        <v>0</v>
      </c>
    </row>
    <row r="141" spans="2:16">
      <c r="B141" s="9" t="str">
        <f t="shared" si="24"/>
        <v/>
      </c>
      <c r="C141" s="157">
        <f>IF(D93="","-",+C140+1)</f>
        <v>2050</v>
      </c>
      <c r="D141" s="158">
        <f>IF(F140+SUM(E$99:E140)=D$92,F140,D$92-SUM(E$99:E140))</f>
        <v>174375</v>
      </c>
      <c r="E141" s="165">
        <f>IF(+J96&lt;F140,J96,D141)</f>
        <v>33054</v>
      </c>
      <c r="F141" s="163">
        <f t="shared" si="29"/>
        <v>141321</v>
      </c>
      <c r="G141" s="163">
        <f t="shared" si="30"/>
        <v>157848</v>
      </c>
      <c r="H141" s="167">
        <f t="shared" si="27"/>
        <v>53077.416813873402</v>
      </c>
      <c r="I141" s="317">
        <f t="shared" si="28"/>
        <v>53077.416813873402</v>
      </c>
      <c r="J141" s="162">
        <f t="shared" si="31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4"/>
        <v>0</v>
      </c>
    </row>
    <row r="142" spans="2:16">
      <c r="B142" s="9" t="str">
        <f t="shared" si="24"/>
        <v/>
      </c>
      <c r="C142" s="157">
        <f>IF(D93="","-",+C141+1)</f>
        <v>2051</v>
      </c>
      <c r="D142" s="158">
        <f>IF(F141+SUM(E$99:E141)=D$92,F141,D$92-SUM(E$99:E141))</f>
        <v>141321</v>
      </c>
      <c r="E142" s="165">
        <f>IF(+J96&lt;F141,J96,D142)</f>
        <v>33054</v>
      </c>
      <c r="F142" s="163">
        <f t="shared" si="29"/>
        <v>108267</v>
      </c>
      <c r="G142" s="163">
        <f t="shared" si="30"/>
        <v>124794</v>
      </c>
      <c r="H142" s="167">
        <f t="shared" si="27"/>
        <v>48884.433568182794</v>
      </c>
      <c r="I142" s="317">
        <f t="shared" si="28"/>
        <v>48884.433568182794</v>
      </c>
      <c r="J142" s="162">
        <f t="shared" si="31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4"/>
        <v>0</v>
      </c>
    </row>
    <row r="143" spans="2:16">
      <c r="B143" s="9" t="str">
        <f t="shared" si="24"/>
        <v/>
      </c>
      <c r="C143" s="157">
        <f>IF(D93="","-",+C142+1)</f>
        <v>2052</v>
      </c>
      <c r="D143" s="158">
        <f>IF(F142+SUM(E$99:E142)=D$92,F142,D$92-SUM(E$99:E142))</f>
        <v>108267</v>
      </c>
      <c r="E143" s="165">
        <f>IF(+J96&lt;F142,J96,D143)</f>
        <v>33054</v>
      </c>
      <c r="F143" s="163">
        <f t="shared" si="29"/>
        <v>75213</v>
      </c>
      <c r="G143" s="163">
        <f t="shared" si="30"/>
        <v>91740</v>
      </c>
      <c r="H143" s="167">
        <f t="shared" si="27"/>
        <v>44691.450322492179</v>
      </c>
      <c r="I143" s="317">
        <f t="shared" si="28"/>
        <v>44691.450322492179</v>
      </c>
      <c r="J143" s="162">
        <f t="shared" si="31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4"/>
        <v>0</v>
      </c>
    </row>
    <row r="144" spans="2:16">
      <c r="B144" s="9" t="str">
        <f t="shared" si="24"/>
        <v/>
      </c>
      <c r="C144" s="157">
        <f>IF(D93="","-",+C143+1)</f>
        <v>2053</v>
      </c>
      <c r="D144" s="158">
        <f>IF(F143+SUM(E$99:E143)=D$92,F143,D$92-SUM(E$99:E143))</f>
        <v>75213</v>
      </c>
      <c r="E144" s="165">
        <f>IF(+J96&lt;F143,J96,D144)</f>
        <v>33054</v>
      </c>
      <c r="F144" s="163">
        <f t="shared" si="29"/>
        <v>42159</v>
      </c>
      <c r="G144" s="163">
        <f t="shared" si="30"/>
        <v>58686</v>
      </c>
      <c r="H144" s="167">
        <f t="shared" si="27"/>
        <v>40498.467076801571</v>
      </c>
      <c r="I144" s="317">
        <f t="shared" si="28"/>
        <v>40498.467076801571</v>
      </c>
      <c r="J144" s="162">
        <f t="shared" si="31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4"/>
        <v>0</v>
      </c>
    </row>
    <row r="145" spans="2:16">
      <c r="B145" s="9" t="str">
        <f t="shared" si="24"/>
        <v/>
      </c>
      <c r="C145" s="157">
        <f>IF(D93="","-",+C144+1)</f>
        <v>2054</v>
      </c>
      <c r="D145" s="158">
        <f>IF(F144+SUM(E$99:E144)=D$92,F144,D$92-SUM(E$99:E144))</f>
        <v>42159</v>
      </c>
      <c r="E145" s="165">
        <f>IF(+J96&lt;F144,J96,D145)</f>
        <v>33054</v>
      </c>
      <c r="F145" s="163">
        <f t="shared" si="29"/>
        <v>9105</v>
      </c>
      <c r="G145" s="163">
        <f t="shared" si="30"/>
        <v>25632</v>
      </c>
      <c r="H145" s="167">
        <f t="shared" si="27"/>
        <v>36305.483831110963</v>
      </c>
      <c r="I145" s="317">
        <f t="shared" si="28"/>
        <v>36305.483831110963</v>
      </c>
      <c r="J145" s="162">
        <f t="shared" si="31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4"/>
        <v>0</v>
      </c>
    </row>
    <row r="146" spans="2:16">
      <c r="B146" s="9" t="str">
        <f t="shared" si="24"/>
        <v/>
      </c>
      <c r="C146" s="157">
        <f>IF(D93="","-",+C145+1)</f>
        <v>2055</v>
      </c>
      <c r="D146" s="158">
        <f>IF(F145+SUM(E$99:E145)=D$92,F145,D$92-SUM(E$99:E145))</f>
        <v>9105</v>
      </c>
      <c r="E146" s="165">
        <f>IF(+J96&lt;F145,J96,D146)</f>
        <v>9105</v>
      </c>
      <c r="F146" s="163">
        <f t="shared" si="29"/>
        <v>0</v>
      </c>
      <c r="G146" s="163">
        <f t="shared" si="30"/>
        <v>4552.5</v>
      </c>
      <c r="H146" s="167">
        <f t="shared" si="27"/>
        <v>9682.4961041328279</v>
      </c>
      <c r="I146" s="317">
        <f t="shared" si="28"/>
        <v>9682.4961041328279</v>
      </c>
      <c r="J146" s="162">
        <f t="shared" si="31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4"/>
        <v>0</v>
      </c>
    </row>
    <row r="147" spans="2:16">
      <c r="B147" s="9" t="str">
        <f t="shared" si="24"/>
        <v/>
      </c>
      <c r="C147" s="157">
        <f>IF(D93="","-",+C146+1)</f>
        <v>2056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9"/>
        <v>0</v>
      </c>
      <c r="G147" s="163">
        <f t="shared" si="30"/>
        <v>0</v>
      </c>
      <c r="H147" s="167">
        <f t="shared" si="27"/>
        <v>0</v>
      </c>
      <c r="I147" s="317">
        <f t="shared" si="28"/>
        <v>0</v>
      </c>
      <c r="J147" s="162">
        <f t="shared" si="31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4"/>
        <v>0</v>
      </c>
    </row>
    <row r="148" spans="2:16">
      <c r="B148" s="9" t="str">
        <f t="shared" si="24"/>
        <v/>
      </c>
      <c r="C148" s="157">
        <f>IF(D93="","-",+C147+1)</f>
        <v>2057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9"/>
        <v>0</v>
      </c>
      <c r="G148" s="163">
        <f t="shared" si="30"/>
        <v>0</v>
      </c>
      <c r="H148" s="167">
        <f t="shared" si="27"/>
        <v>0</v>
      </c>
      <c r="I148" s="317">
        <f t="shared" si="28"/>
        <v>0</v>
      </c>
      <c r="J148" s="162">
        <f t="shared" si="31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4"/>
        <v>0</v>
      </c>
    </row>
    <row r="149" spans="2:16">
      <c r="B149" s="9" t="str">
        <f t="shared" si="24"/>
        <v/>
      </c>
      <c r="C149" s="157">
        <f>IF(D93="","-",+C148+1)</f>
        <v>2058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9"/>
        <v>0</v>
      </c>
      <c r="G149" s="163">
        <f t="shared" si="30"/>
        <v>0</v>
      </c>
      <c r="H149" s="167">
        <f t="shared" si="27"/>
        <v>0</v>
      </c>
      <c r="I149" s="317">
        <f t="shared" si="28"/>
        <v>0</v>
      </c>
      <c r="J149" s="162">
        <f t="shared" si="31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4"/>
        <v>0</v>
      </c>
    </row>
    <row r="150" spans="2:16">
      <c r="B150" s="9" t="str">
        <f t="shared" si="24"/>
        <v/>
      </c>
      <c r="C150" s="157">
        <f>IF(D93="","-",+C149+1)</f>
        <v>2059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9"/>
        <v>0</v>
      </c>
      <c r="G150" s="163">
        <f t="shared" si="30"/>
        <v>0</v>
      </c>
      <c r="H150" s="167">
        <f t="shared" si="27"/>
        <v>0</v>
      </c>
      <c r="I150" s="317">
        <f t="shared" si="28"/>
        <v>0</v>
      </c>
      <c r="J150" s="162">
        <f t="shared" si="31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4"/>
        <v>0</v>
      </c>
    </row>
    <row r="151" spans="2:16">
      <c r="B151" s="9" t="str">
        <f t="shared" si="24"/>
        <v/>
      </c>
      <c r="C151" s="157">
        <f>IF(D93="","-",+C150+1)</f>
        <v>2060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9"/>
        <v>0</v>
      </c>
      <c r="G151" s="163">
        <f t="shared" si="30"/>
        <v>0</v>
      </c>
      <c r="H151" s="167">
        <f t="shared" si="27"/>
        <v>0</v>
      </c>
      <c r="I151" s="317">
        <f t="shared" si="28"/>
        <v>0</v>
      </c>
      <c r="J151" s="162">
        <f t="shared" si="31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4"/>
        <v>0</v>
      </c>
    </row>
    <row r="152" spans="2:16">
      <c r="B152" s="9" t="str">
        <f t="shared" si="24"/>
        <v/>
      </c>
      <c r="C152" s="157">
        <f>IF(D93="","-",+C151+1)</f>
        <v>2061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9"/>
        <v>0</v>
      </c>
      <c r="G152" s="163">
        <f t="shared" si="30"/>
        <v>0</v>
      </c>
      <c r="H152" s="167">
        <f t="shared" si="27"/>
        <v>0</v>
      </c>
      <c r="I152" s="317">
        <f t="shared" si="28"/>
        <v>0</v>
      </c>
      <c r="J152" s="162">
        <f t="shared" si="31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4"/>
        <v>0</v>
      </c>
    </row>
    <row r="153" spans="2:16">
      <c r="B153" s="9" t="str">
        <f t="shared" si="24"/>
        <v/>
      </c>
      <c r="C153" s="157">
        <f>IF(D93="","-",+C152+1)</f>
        <v>2062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9"/>
        <v>0</v>
      </c>
      <c r="G153" s="163">
        <f t="shared" si="30"/>
        <v>0</v>
      </c>
      <c r="H153" s="167">
        <f t="shared" si="27"/>
        <v>0</v>
      </c>
      <c r="I153" s="317">
        <f t="shared" si="28"/>
        <v>0</v>
      </c>
      <c r="J153" s="162">
        <f t="shared" si="31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4"/>
        <v>0</v>
      </c>
    </row>
    <row r="154" spans="2:16" ht="13.5" thickBot="1">
      <c r="B154" s="9" t="str">
        <f t="shared" si="24"/>
        <v/>
      </c>
      <c r="C154" s="168">
        <f>IF(D93="","-",+C153+1)</f>
        <v>2063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9"/>
        <v>0</v>
      </c>
      <c r="G154" s="169">
        <f t="shared" si="30"/>
        <v>0</v>
      </c>
      <c r="H154" s="171">
        <f t="shared" si="27"/>
        <v>0</v>
      </c>
      <c r="I154" s="318">
        <f t="shared" si="28"/>
        <v>0</v>
      </c>
      <c r="J154" s="173">
        <f t="shared" si="31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4"/>
        <v>0</v>
      </c>
    </row>
    <row r="155" spans="2:16">
      <c r="C155" s="158" t="s">
        <v>72</v>
      </c>
      <c r="D155" s="115"/>
      <c r="E155" s="115">
        <f>SUM(E99:E154)</f>
        <v>1520502</v>
      </c>
      <c r="F155" s="115"/>
      <c r="G155" s="115"/>
      <c r="H155" s="115">
        <f>SUM(H99:H154)</f>
        <v>6295565.545136448</v>
      </c>
      <c r="I155" s="115">
        <f>SUM(I99:I154)</f>
        <v>6295565.545136448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143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8" priority="1" stopIfTrue="1" operator="equal">
      <formula>$I$10</formula>
    </cfRule>
  </conditionalFormatting>
  <conditionalFormatting sqref="C99:C154">
    <cfRule type="cellIs" dxfId="47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28</vt:i4>
      </vt:variant>
    </vt:vector>
  </HeadingPairs>
  <TitlesOfParts>
    <vt:vector size="59" baseType="lpstr">
      <vt:lpstr>PSO Sch 11 Rates</vt:lpstr>
      <vt:lpstr>PSO.WS.F.BPU.ATRR.Projected</vt:lpstr>
      <vt:lpstr>PSO.WS.G.BPU.ATRR.True-up</vt:lpstr>
      <vt:lpstr>P.001</vt:lpstr>
      <vt:lpstr>P.002</vt:lpstr>
      <vt:lpstr>P.003</vt:lpstr>
      <vt:lpstr>P.004</vt:lpstr>
      <vt:lpstr>P.005</vt:lpstr>
      <vt:lpstr>P.006</vt:lpstr>
      <vt:lpstr>P.007</vt:lpstr>
      <vt:lpstr>P.008</vt:lpstr>
      <vt:lpstr>P.009</vt:lpstr>
      <vt:lpstr>P.010</vt:lpstr>
      <vt:lpstr>P.011</vt:lpstr>
      <vt:lpstr>P.012</vt:lpstr>
      <vt:lpstr>P.013</vt:lpstr>
      <vt:lpstr>P.014</vt:lpstr>
      <vt:lpstr>P.015</vt:lpstr>
      <vt:lpstr>P.016</vt:lpstr>
      <vt:lpstr>P.017</vt:lpstr>
      <vt:lpstr>P.018</vt:lpstr>
      <vt:lpstr>P.019</vt:lpstr>
      <vt:lpstr>P.020</vt:lpstr>
      <vt:lpstr>P.021</vt:lpstr>
      <vt:lpstr>P.022</vt:lpstr>
      <vt:lpstr>P.023</vt:lpstr>
      <vt:lpstr>P.024</vt:lpstr>
      <vt:lpstr>P.025</vt:lpstr>
      <vt:lpstr>P.026</vt:lpstr>
      <vt:lpstr>P.027</vt:lpstr>
      <vt:lpstr>P.xyz - blank</vt:lpstr>
      <vt:lpstr>P.001!Print_Area</vt:lpstr>
      <vt:lpstr>P.002!Print_Area</vt:lpstr>
      <vt:lpstr>P.003!Print_Area</vt:lpstr>
      <vt:lpstr>P.004!Print_Area</vt:lpstr>
      <vt:lpstr>P.005!Print_Area</vt:lpstr>
      <vt:lpstr>P.006!Print_Area</vt:lpstr>
      <vt:lpstr>P.007!Print_Area</vt:lpstr>
      <vt:lpstr>P.008!Print_Area</vt:lpstr>
      <vt:lpstr>P.009!Print_Area</vt:lpstr>
      <vt:lpstr>P.010!Print_Area</vt:lpstr>
      <vt:lpstr>P.011!Print_Area</vt:lpstr>
      <vt:lpstr>P.012!Print_Area</vt:lpstr>
      <vt:lpstr>P.013!Print_Area</vt:lpstr>
      <vt:lpstr>P.014!Print_Area</vt:lpstr>
      <vt:lpstr>P.015!Print_Area</vt:lpstr>
      <vt:lpstr>P.016!Print_Area</vt:lpstr>
      <vt:lpstr>P.017!Print_Area</vt:lpstr>
      <vt:lpstr>P.018!Print_Area</vt:lpstr>
      <vt:lpstr>P.019!Print_Area</vt:lpstr>
      <vt:lpstr>P.020!Print_Area</vt:lpstr>
      <vt:lpstr>P.021!Print_Area</vt:lpstr>
      <vt:lpstr>P.022!Print_Area</vt:lpstr>
      <vt:lpstr>'P.xyz - blank'!Print_Area</vt:lpstr>
      <vt:lpstr>'PSO Sch 11 Rates'!Print_Area</vt:lpstr>
      <vt:lpstr>PSO.WS.F.BPU.ATRR.Projected!Print_Area</vt:lpstr>
      <vt:lpstr>'PSO.WS.G.BPU.ATRR.True-up'!Print_Area</vt:lpstr>
      <vt:lpstr>PSO.WS.F.BPU.ATRR.Projected!Print_Titles</vt:lpstr>
      <vt:lpstr>'PSO.WS.G.BPU.ATRR.True-up'!Print_Titles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R.Pennybaker</dc:creator>
  <cp:lastModifiedBy>S177040</cp:lastModifiedBy>
  <cp:lastPrinted>2018-12-13T16:00:59Z</cp:lastPrinted>
  <dcterms:created xsi:type="dcterms:W3CDTF">2009-05-11T14:02:48Z</dcterms:created>
  <dcterms:modified xsi:type="dcterms:W3CDTF">2018-12-13T16:01:36Z</dcterms:modified>
</cp:coreProperties>
</file>